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0215" windowHeight="4140" activeTab="5"/>
  </bookViews>
  <sheets>
    <sheet name="iv 1k" sheetId="1" r:id="rId1"/>
    <sheet name="infus" sheetId="2" r:id="rId2"/>
    <sheet name="abs" sheetId="4" r:id="rId3"/>
    <sheet name="2k iv" sheetId="3" r:id="rId4"/>
    <sheet name="2K SEMILOG" sheetId="5" r:id="rId5"/>
    <sheet name="PR ABSR" sheetId="6" r:id="rId6"/>
    <sheet name="Sheet2" sheetId="7" r:id="rId7"/>
    <sheet name="ABSP 2" sheetId="8" r:id="rId8"/>
  </sheets>
  <calcPr calcId="144525"/>
</workbook>
</file>

<file path=xl/calcChain.xml><?xml version="1.0" encoding="utf-8"?>
<calcChain xmlns="http://schemas.openxmlformats.org/spreadsheetml/2006/main">
  <c r="H23" i="7" l="1"/>
  <c r="D21" i="7"/>
  <c r="E21" i="7" s="1"/>
  <c r="F21" i="7" s="1"/>
  <c r="G21" i="7" s="1"/>
  <c r="C21" i="7"/>
  <c r="F17" i="7"/>
  <c r="D30" i="7"/>
  <c r="D29" i="7"/>
  <c r="D28" i="7"/>
  <c r="D27" i="7"/>
  <c r="D26" i="7"/>
  <c r="D25" i="7"/>
  <c r="D24" i="7"/>
  <c r="D23" i="7"/>
  <c r="E23" i="7" s="1"/>
  <c r="F23" i="7" s="1"/>
  <c r="G23" i="7" s="1"/>
  <c r="D22" i="7"/>
  <c r="E22" i="7" s="1"/>
  <c r="F22" i="7" s="1"/>
  <c r="G22" i="7" s="1"/>
  <c r="D20" i="7"/>
  <c r="E20" i="7" s="1"/>
  <c r="F20" i="7" s="1"/>
  <c r="G20" i="7" s="1"/>
  <c r="Q29" i="7"/>
  <c r="L11" i="8"/>
  <c r="K11" i="8"/>
  <c r="J11" i="8"/>
  <c r="I11" i="8"/>
  <c r="H11" i="8"/>
  <c r="G11" i="8"/>
  <c r="F11" i="8"/>
  <c r="E11" i="8"/>
  <c r="D11" i="8"/>
  <c r="C11" i="8"/>
  <c r="I13" i="8"/>
  <c r="H13" i="8"/>
  <c r="G13" i="8"/>
  <c r="F13" i="8"/>
  <c r="E13" i="8"/>
  <c r="D13" i="8"/>
  <c r="C13" i="8"/>
  <c r="C30" i="7" l="1"/>
  <c r="C29" i="7"/>
  <c r="C28" i="7"/>
  <c r="C27" i="7"/>
  <c r="C26" i="7"/>
  <c r="C25" i="7"/>
  <c r="C24" i="7"/>
  <c r="C23" i="7"/>
  <c r="C22" i="7"/>
  <c r="C20" i="7"/>
  <c r="F15" i="7" l="1"/>
  <c r="F14" i="7"/>
  <c r="F13" i="7"/>
  <c r="F12" i="7"/>
  <c r="F11" i="7"/>
  <c r="F10" i="7"/>
  <c r="F9" i="7"/>
  <c r="F8" i="7"/>
  <c r="F7" i="7"/>
  <c r="D15" i="7"/>
  <c r="D14" i="7"/>
  <c r="D13" i="7"/>
  <c r="D12" i="7"/>
  <c r="D11" i="7"/>
  <c r="D10" i="7"/>
  <c r="D9" i="7"/>
  <c r="D8" i="7"/>
  <c r="D7" i="7"/>
  <c r="D6" i="7"/>
  <c r="F6" i="7"/>
  <c r="C29" i="6"/>
  <c r="C28" i="6"/>
  <c r="C27" i="6"/>
  <c r="C26" i="6"/>
  <c r="C25" i="6"/>
  <c r="C24" i="6"/>
  <c r="C23" i="6"/>
  <c r="C22" i="6"/>
  <c r="C21" i="6"/>
  <c r="C20" i="6"/>
  <c r="C19" i="6"/>
  <c r="K13" i="6"/>
  <c r="K12" i="6"/>
  <c r="K11" i="6"/>
  <c r="K10" i="6"/>
  <c r="K9" i="6"/>
  <c r="J13" i="6"/>
  <c r="J12" i="6"/>
  <c r="J11" i="6"/>
  <c r="J10" i="6"/>
  <c r="J9" i="6"/>
  <c r="J29" i="6"/>
  <c r="J28" i="6"/>
  <c r="J27" i="6"/>
  <c r="J26" i="6"/>
  <c r="J25" i="6"/>
  <c r="J24" i="6"/>
  <c r="J23" i="6"/>
  <c r="J22" i="6"/>
  <c r="J21" i="6"/>
  <c r="I23" i="6"/>
  <c r="I22" i="6"/>
  <c r="I21" i="6"/>
  <c r="J8" i="6"/>
  <c r="K8" i="6" s="1"/>
  <c r="J7" i="6"/>
  <c r="K7" i="6"/>
  <c r="K6" i="6"/>
  <c r="J6" i="6"/>
  <c r="I16" i="6"/>
  <c r="I15" i="6"/>
  <c r="I14" i="6"/>
  <c r="I13" i="6"/>
  <c r="I12" i="6"/>
  <c r="I11" i="6"/>
  <c r="I10" i="6"/>
  <c r="I9" i="6"/>
  <c r="I8" i="6"/>
  <c r="I7" i="6"/>
  <c r="O10" i="6"/>
  <c r="I6" i="6"/>
  <c r="P8" i="6"/>
  <c r="O8" i="6"/>
  <c r="P7" i="6"/>
  <c r="H31" i="6"/>
  <c r="H30" i="6"/>
  <c r="H29" i="6"/>
  <c r="H28" i="6"/>
  <c r="H27" i="6"/>
  <c r="H26" i="6"/>
  <c r="H25" i="6"/>
  <c r="H24" i="6"/>
  <c r="H23" i="6"/>
  <c r="H22" i="6"/>
  <c r="H21" i="6"/>
  <c r="H16" i="6"/>
  <c r="H15" i="6"/>
  <c r="H14" i="6"/>
  <c r="H13" i="6"/>
  <c r="H12" i="6"/>
  <c r="H11" i="6"/>
  <c r="H10" i="6"/>
  <c r="H9" i="6"/>
  <c r="H8" i="6"/>
  <c r="H7" i="6"/>
  <c r="H6" i="6"/>
  <c r="G31" i="6"/>
  <c r="G30" i="6"/>
  <c r="G29" i="6"/>
  <c r="G28" i="6"/>
  <c r="G27" i="6"/>
  <c r="G26" i="6"/>
  <c r="G25" i="6"/>
  <c r="G24" i="6"/>
  <c r="G23" i="6"/>
  <c r="G22" i="6"/>
  <c r="G21" i="6"/>
  <c r="G16" i="6"/>
  <c r="G15" i="6"/>
  <c r="G14" i="6"/>
  <c r="G13" i="6"/>
  <c r="G12" i="6"/>
  <c r="G11" i="6"/>
  <c r="G10" i="6"/>
  <c r="G9" i="6"/>
  <c r="G8" i="6"/>
  <c r="G7" i="6"/>
  <c r="G6" i="6"/>
  <c r="H23" i="5" l="1"/>
  <c r="H19" i="5"/>
  <c r="H20" i="5"/>
  <c r="H21" i="5"/>
  <c r="H22" i="5"/>
  <c r="H18" i="5"/>
  <c r="H17" i="5"/>
  <c r="H16" i="5"/>
  <c r="H15" i="5"/>
  <c r="H14" i="5"/>
  <c r="F23" i="5"/>
  <c r="F22" i="5"/>
  <c r="F21" i="5"/>
  <c r="F20" i="5"/>
  <c r="F19" i="5"/>
  <c r="F18" i="5"/>
  <c r="F17" i="5"/>
  <c r="F16" i="5"/>
  <c r="F15" i="5"/>
  <c r="F14" i="5"/>
  <c r="C23" i="5"/>
  <c r="C22" i="5"/>
  <c r="C21" i="5"/>
  <c r="C20" i="5"/>
  <c r="C19" i="5"/>
  <c r="C18" i="5"/>
  <c r="C17" i="5"/>
  <c r="C16" i="5"/>
  <c r="C15" i="5"/>
  <c r="C14" i="5"/>
  <c r="E23" i="5"/>
  <c r="E22" i="5"/>
  <c r="E21" i="5"/>
  <c r="E20" i="5"/>
  <c r="E19" i="5"/>
  <c r="N60" i="3" l="1"/>
  <c r="M60" i="3"/>
  <c r="L60" i="3"/>
  <c r="K60" i="3"/>
  <c r="J60" i="3"/>
  <c r="I60" i="3"/>
  <c r="H60" i="3"/>
  <c r="G60" i="3"/>
  <c r="F60" i="3"/>
  <c r="E60" i="3"/>
  <c r="D60" i="3"/>
  <c r="C60" i="3"/>
  <c r="B60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J57" i="3"/>
  <c r="I57" i="3"/>
  <c r="H57" i="3"/>
  <c r="G57" i="3"/>
  <c r="F57" i="3"/>
  <c r="E57" i="3"/>
  <c r="D57" i="3"/>
  <c r="C57" i="3"/>
  <c r="B57" i="3"/>
  <c r="P51" i="3"/>
  <c r="J30" i="3"/>
  <c r="I30" i="3"/>
  <c r="H30" i="3"/>
  <c r="G30" i="3"/>
  <c r="F30" i="3"/>
  <c r="E30" i="3"/>
  <c r="D30" i="3"/>
  <c r="C30" i="3"/>
  <c r="B30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J27" i="3"/>
  <c r="I27" i="3"/>
  <c r="H27" i="3"/>
  <c r="G27" i="3"/>
  <c r="F27" i="3"/>
  <c r="E27" i="3"/>
  <c r="D27" i="3"/>
  <c r="C27" i="3"/>
  <c r="B27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J16" i="3"/>
  <c r="I16" i="3"/>
  <c r="H16" i="3"/>
  <c r="G16" i="3"/>
  <c r="F16" i="3"/>
  <c r="E16" i="3"/>
  <c r="D16" i="3"/>
  <c r="C16" i="3"/>
  <c r="B16" i="3"/>
  <c r="W15" i="3"/>
  <c r="V15" i="3"/>
  <c r="U15" i="3"/>
  <c r="T15" i="3"/>
  <c r="S15" i="3"/>
  <c r="F15" i="3"/>
  <c r="E15" i="3"/>
  <c r="D15" i="3"/>
  <c r="C15" i="3"/>
  <c r="B15" i="3"/>
  <c r="AA14" i="3"/>
  <c r="Z14" i="3"/>
  <c r="Y14" i="3"/>
  <c r="X14" i="3"/>
  <c r="W14" i="3"/>
  <c r="V14" i="3"/>
  <c r="U14" i="3"/>
  <c r="T14" i="3"/>
  <c r="S14" i="3"/>
  <c r="AA13" i="3"/>
  <c r="Z13" i="3"/>
  <c r="Y13" i="3"/>
  <c r="X13" i="3"/>
  <c r="W13" i="3"/>
  <c r="V13" i="3"/>
  <c r="U13" i="3"/>
  <c r="T13" i="3"/>
  <c r="S13" i="3"/>
  <c r="J13" i="3"/>
  <c r="I13" i="3"/>
  <c r="H13" i="3"/>
  <c r="G13" i="3"/>
  <c r="F13" i="3"/>
  <c r="E13" i="3"/>
  <c r="D13" i="3"/>
  <c r="C13" i="3"/>
  <c r="B13" i="3"/>
  <c r="W12" i="3"/>
  <c r="V12" i="3"/>
  <c r="U12" i="3"/>
  <c r="T12" i="3"/>
  <c r="S12" i="3"/>
  <c r="G12" i="3"/>
  <c r="F12" i="3"/>
  <c r="E12" i="3"/>
  <c r="D12" i="3"/>
  <c r="C12" i="3"/>
  <c r="B12" i="3"/>
  <c r="AA11" i="3"/>
  <c r="Z11" i="3"/>
  <c r="Y11" i="3"/>
  <c r="X11" i="3"/>
  <c r="W11" i="3"/>
  <c r="V11" i="3"/>
  <c r="U11" i="3"/>
  <c r="T11" i="3"/>
  <c r="S11" i="3"/>
  <c r="J11" i="3"/>
  <c r="I11" i="3"/>
  <c r="H11" i="3"/>
  <c r="G11" i="3"/>
  <c r="F11" i="3"/>
  <c r="E11" i="3"/>
  <c r="D11" i="3"/>
  <c r="C11" i="3"/>
  <c r="B11" i="3"/>
  <c r="K30" i="4"/>
  <c r="J30" i="4"/>
  <c r="I30" i="4"/>
  <c r="H30" i="4"/>
  <c r="G30" i="4"/>
  <c r="F30" i="4"/>
  <c r="E30" i="4"/>
  <c r="D30" i="4"/>
  <c r="C30" i="4"/>
  <c r="B30" i="4"/>
  <c r="E29" i="4"/>
  <c r="D29" i="4"/>
  <c r="C29" i="4"/>
  <c r="B29" i="4"/>
  <c r="E28" i="4"/>
  <c r="D28" i="4"/>
  <c r="C28" i="4"/>
  <c r="B28" i="4"/>
  <c r="H27" i="4"/>
  <c r="G27" i="4"/>
  <c r="F27" i="4"/>
  <c r="E27" i="4"/>
  <c r="D27" i="4"/>
  <c r="C27" i="4"/>
  <c r="B27" i="4"/>
  <c r="K26" i="4"/>
  <c r="J26" i="4"/>
  <c r="I26" i="4"/>
  <c r="H26" i="4"/>
  <c r="G26" i="4"/>
  <c r="F26" i="4"/>
  <c r="E26" i="4"/>
  <c r="D26" i="4"/>
  <c r="C26" i="4"/>
  <c r="B26" i="4"/>
  <c r="D13" i="4"/>
  <c r="C13" i="4"/>
  <c r="B13" i="4"/>
  <c r="Z12" i="4"/>
  <c r="D12" i="4"/>
  <c r="C12" i="4"/>
  <c r="B12" i="4"/>
  <c r="AB11" i="4"/>
  <c r="D11" i="4"/>
  <c r="C11" i="4"/>
  <c r="B11" i="4"/>
  <c r="AB10" i="4"/>
  <c r="Z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Z5" i="4"/>
  <c r="I7" i="2"/>
  <c r="H7" i="2"/>
  <c r="G7" i="2"/>
  <c r="F7" i="2"/>
  <c r="E7" i="2"/>
  <c r="D7" i="2"/>
  <c r="C7" i="2"/>
  <c r="B7" i="2"/>
  <c r="C47" i="1"/>
  <c r="B46" i="1"/>
  <c r="F40" i="1"/>
  <c r="D29" i="1"/>
  <c r="D28" i="1"/>
  <c r="D27" i="1"/>
  <c r="D26" i="1"/>
  <c r="D25" i="1"/>
  <c r="D24" i="1"/>
  <c r="D23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<sst xmlns="http://schemas.openxmlformats.org/spreadsheetml/2006/main" count="254" uniqueCount="178">
  <si>
    <t>waktu</t>
  </si>
  <si>
    <t>c</t>
  </si>
  <si>
    <t>soal no 1</t>
  </si>
  <si>
    <t xml:space="preserve">Dit :. orde, 2, t1/2, Ao, Pers regresi </t>
  </si>
  <si>
    <t>log C</t>
  </si>
  <si>
    <t>ln c</t>
  </si>
  <si>
    <t>DIK : BB- 50, DOSIS 6 MG/KG</t>
  </si>
  <si>
    <t>DIT : VD,K,T1/2</t>
  </si>
  <si>
    <t>MEC=2UG/ML</t>
  </si>
  <si>
    <t>DURASI</t>
  </si>
  <si>
    <t>T 99,9%</t>
  </si>
  <si>
    <t>JK DOSISNYA2X  BRP T KERJA</t>
  </si>
  <si>
    <t>HAL 69-71</t>
  </si>
  <si>
    <t>T</t>
  </si>
  <si>
    <t>C</t>
  </si>
  <si>
    <t>LOG C</t>
  </si>
  <si>
    <t xml:space="preserve">T( jam) : </t>
  </si>
  <si>
    <t>Cp(μ/ml):</t>
  </si>
  <si>
    <t>log Cp</t>
  </si>
  <si>
    <r>
      <t>S</t>
    </r>
    <r>
      <rPr>
        <b/>
        <sz val="8"/>
        <color rgb="FF000000"/>
        <rFont val="Arial"/>
        <family val="2"/>
      </rPr>
      <t xml:space="preserve">eorang pasien memerlukan infus asam aminocaproat selama 24 jam </t>
    </r>
  </si>
  <si>
    <t>dengan kecepatan 1 g/jam. Konsentrasi obat setiap saat dimonitor yang hasilnya sbb :</t>
  </si>
  <si>
    <t xml:space="preserve">Berapakah konsentrasi tunak obat tsb, hitunglah nilai ke dan klirennya </t>
  </si>
  <si>
    <t>Suatu infus prokain amid diberikan selama 8 jam dan konsentrasinya ditentukan setiap saat sbb :</t>
  </si>
  <si>
    <t>T(jam) :</t>
  </si>
  <si>
    <t xml:space="preserve">Hitunglah : Ke, t½, dan konsentrasi tunak </t>
  </si>
  <si>
    <t>Jawab</t>
  </si>
  <si>
    <t>KERJAKAN DIRUMAH HAL 215-216. DAN KERJAKAN/PELAJARI CONTOH2 SOAL PADA BAB INFUS</t>
  </si>
  <si>
    <t>CONTOH HAL 198, tabel 8.5</t>
  </si>
  <si>
    <t>t(jam)</t>
  </si>
  <si>
    <t xml:space="preserve">Cpstl infus </t>
  </si>
  <si>
    <t>Cpinfus 2</t>
  </si>
  <si>
    <t>Ctotal</t>
  </si>
  <si>
    <t>DIK : INFUS 1  40mh selama 2 jam. Infus ke 2 40mg selama 2jam pd jam ke 10</t>
  </si>
  <si>
    <t>Ditanya : Cp 2jam stl infus 1</t>
  </si>
  <si>
    <t>Cp stl 5 jam infus ke2 dimulai</t>
  </si>
  <si>
    <t>k=0,2jam-1</t>
  </si>
  <si>
    <t>Vd=10ml</t>
  </si>
  <si>
    <t>t (jam)</t>
  </si>
  <si>
    <t>Cp(ug/ml)</t>
  </si>
  <si>
    <t>Diketahui :  diberikan secara iv 100mg pada pria sehat 75kg</t>
  </si>
  <si>
    <t>Ditanya parameter farmakokinetik obat tsb</t>
  </si>
  <si>
    <t>Fs eliminasi y=-0.091 x + 1.177</t>
  </si>
  <si>
    <t>log Cp'</t>
  </si>
  <si>
    <t>cp-cp'</t>
  </si>
  <si>
    <t>pers dist : log (Cp-Cp')= -0.435x +1.657</t>
  </si>
  <si>
    <t>k = ab(A+B)/Ab +Ba</t>
  </si>
  <si>
    <t>k21= AB(b-a)2 /(A+B)(Ab+Ba)</t>
  </si>
  <si>
    <r>
      <t>k12= AB(b-a)</t>
    </r>
    <r>
      <rPr>
        <vertAlign val="superscript"/>
        <sz val="8"/>
        <color rgb="FF00B0F0"/>
        <rFont val="Calibri"/>
        <family val="2"/>
        <scheme val="minor"/>
      </rPr>
      <t>2</t>
    </r>
  </si>
  <si>
    <t>Cp'</t>
  </si>
  <si>
    <t>contoh soal : H: 79, soal 2</t>
  </si>
  <si>
    <t>soal no 2</t>
  </si>
  <si>
    <t>LOG Cp</t>
  </si>
  <si>
    <t>Y=-0.033X+1.14</t>
  </si>
  <si>
    <t>Log Cp'</t>
  </si>
  <si>
    <t>Cp-Cp'</t>
  </si>
  <si>
    <t>log CP-CP'</t>
  </si>
  <si>
    <t>hal 182 no 1</t>
  </si>
  <si>
    <t>Dik :</t>
  </si>
  <si>
    <t>Cp</t>
  </si>
  <si>
    <t>Dit : Ke,ka, persamaan</t>
  </si>
  <si>
    <t>Y=-0.038X+1.667</t>
  </si>
  <si>
    <t>Cpe</t>
  </si>
  <si>
    <t>Cpe-Cp</t>
  </si>
  <si>
    <t>log Cpe-Cp</t>
  </si>
  <si>
    <t>y=-0,152x+1.667</t>
  </si>
  <si>
    <t>Y=-0.091+1.177</t>
  </si>
  <si>
    <t>tan a =-0.091 = -ke/2.303</t>
  </si>
  <si>
    <t>Cp1-Cp2</t>
  </si>
  <si>
    <t>Cp2</t>
  </si>
  <si>
    <t>log(Cp1-Cp2)</t>
  </si>
  <si>
    <r>
      <t>k12= AB(b-a)</t>
    </r>
    <r>
      <rPr>
        <vertAlign val="superscript"/>
        <sz val="8"/>
        <color rgb="FFFF0000"/>
        <rFont val="Calibri"/>
        <family val="2"/>
        <scheme val="minor"/>
      </rPr>
      <t>2</t>
    </r>
  </si>
  <si>
    <t>log Cpe=Log Cp2</t>
  </si>
  <si>
    <t>contoh soal tabel 7.1</t>
  </si>
  <si>
    <t>Y=-0.44X +1.13</t>
  </si>
  <si>
    <t>Y=-0.172X+1.13</t>
  </si>
  <si>
    <t>β=-0.044</t>
  </si>
  <si>
    <t>α=-0.172</t>
  </si>
  <si>
    <t>Ka=</t>
  </si>
  <si>
    <t>Ke=</t>
  </si>
  <si>
    <t>log0.0</t>
  </si>
  <si>
    <t>LOG Cpe</t>
  </si>
  <si>
    <t>Cpe=anti Log Cpe</t>
  </si>
  <si>
    <t>Persamaan farmakokinetik</t>
  </si>
  <si>
    <t>y=-0.074 x +0.933</t>
  </si>
  <si>
    <t>log Cp= - 0.074 t + 0.933</t>
  </si>
  <si>
    <t>JAWAB: pers reg :</t>
  </si>
  <si>
    <t>Jadi Co = 0.0933</t>
  </si>
  <si>
    <t>k/2303 = 0.074</t>
  </si>
  <si>
    <t>k = -2.302x 0.074</t>
  </si>
  <si>
    <t>a</t>
  </si>
  <si>
    <t>b</t>
  </si>
  <si>
    <t>log 0.1%.Co= -0.074 xt +0.933</t>
  </si>
  <si>
    <t>t=</t>
  </si>
  <si>
    <t xml:space="preserve">                log C  = log Co  - ke /2,303  .t</t>
  </si>
  <si>
    <t>log Co =0.933…</t>
  </si>
  <si>
    <t>Co=8.59</t>
  </si>
  <si>
    <t>log( 0.1/100 x 8.59)=-(0.074t +0.933)</t>
  </si>
  <si>
    <t>log0.1/100 =0.74 t + log 100</t>
  </si>
  <si>
    <t>Soal no 1 hal 102</t>
  </si>
  <si>
    <t>17,0</t>
  </si>
  <si>
    <t>Ditanya parameter farmakokinetik obat tsb:</t>
  </si>
  <si>
    <t>Log Cp-log Cp'</t>
  </si>
  <si>
    <t>Persamaan Fs Eliminasi : y=-1.15x+14,95</t>
  </si>
  <si>
    <t>log Cp = -1,15 t +14.95</t>
  </si>
  <si>
    <t>t</t>
  </si>
  <si>
    <t>elmns</t>
  </si>
  <si>
    <t>logCpe</t>
  </si>
  <si>
    <t>y=-0.2111x+1.14</t>
  </si>
  <si>
    <t>cPE</t>
  </si>
  <si>
    <t>Log Cp=-0.2111t+1.14</t>
  </si>
  <si>
    <t>logCp=-0.9535+0.8485</t>
  </si>
  <si>
    <t>Cpa</t>
  </si>
  <si>
    <t>Table P2.2</t>
  </si>
  <si>
    <t>Time (h)</t>
  </si>
  <si>
    <r>
      <t>Mean plasma concentration (ng mL</t>
    </r>
    <r>
      <rPr>
        <b/>
        <vertAlign val="superscript"/>
        <sz val="14"/>
        <color rgb="FF000000"/>
        <rFont val="Times New Roman"/>
      </rPr>
      <t>-1</t>
    </r>
    <r>
      <rPr>
        <b/>
        <sz val="14"/>
        <color rgb="FF000000"/>
        <rFont val="Times New Roman"/>
      </rPr>
      <t>)</t>
    </r>
    <r>
      <rPr>
        <b/>
        <vertAlign val="superscript"/>
        <sz val="14"/>
        <color rgb="FF000000"/>
        <rFont val="Times New Roman"/>
      </rPr>
      <t>a</t>
    </r>
  </si>
  <si>
    <t>25 mg tablet</t>
  </si>
  <si>
    <r>
      <t>(lot 1821448)</t>
    </r>
    <r>
      <rPr>
        <b/>
        <vertAlign val="superscript"/>
        <sz val="14"/>
        <color rgb="FF000000"/>
        <rFont val="Times New Roman"/>
      </rPr>
      <t>b</t>
    </r>
  </si>
  <si>
    <t>50 mg tablet</t>
  </si>
  <si>
    <r>
      <t>(lot 1821148)</t>
    </r>
    <r>
      <rPr>
        <b/>
        <vertAlign val="superscript"/>
        <sz val="14"/>
        <color rgb="FF000000"/>
        <rFont val="Times New Roman"/>
      </rPr>
      <t>b</t>
    </r>
  </si>
  <si>
    <r>
      <t xml:space="preserve">0.12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0.45</t>
    </r>
  </si>
  <si>
    <r>
      <t xml:space="preserve">0.26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0.75</t>
    </r>
  </si>
  <si>
    <r>
      <t xml:space="preserve">2.20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1.76</t>
    </r>
  </si>
  <si>
    <r>
      <t xml:space="preserve">3.62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3.05</t>
    </r>
  </si>
  <si>
    <r>
      <t xml:space="preserve">5.38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4.26</t>
    </r>
  </si>
  <si>
    <r>
      <t xml:space="preserve">6.65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4.15</t>
    </r>
  </si>
  <si>
    <r>
      <t xml:space="preserve">6.80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4.42</t>
    </r>
  </si>
  <si>
    <r>
      <t xml:space="preserve">10.74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3.67</t>
    </r>
  </si>
  <si>
    <r>
      <t xml:space="preserve">6.91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3.42</t>
    </r>
  </si>
  <si>
    <r>
      <t xml:space="preserve">12.54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6.22</t>
    </r>
  </si>
  <si>
    <r>
      <t xml:space="preserve">6.32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2.90</t>
    </r>
  </si>
  <si>
    <r>
      <t xml:space="preserve">11.20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4.42</t>
    </r>
  </si>
  <si>
    <r>
      <t xml:space="preserve">4.25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2.00</t>
    </r>
  </si>
  <si>
    <r>
      <t xml:space="preserve">8.54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3.04</t>
    </r>
  </si>
  <si>
    <r>
      <t xml:space="preserve">3.60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1.53</t>
    </r>
  </si>
  <si>
    <r>
      <t xml:space="preserve">6.48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2.43</t>
    </r>
  </si>
  <si>
    <r>
      <t xml:space="preserve">2.72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1.27</t>
    </r>
  </si>
  <si>
    <r>
      <t xml:space="preserve">4.85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1.66</t>
    </r>
  </si>
  <si>
    <r>
      <t xml:space="preserve">2.30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1.35</t>
    </r>
  </si>
  <si>
    <r>
      <t xml:space="preserve">4.05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2.07</t>
    </r>
  </si>
  <si>
    <r>
      <t xml:space="preserve">0.67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0.94</t>
    </r>
  </si>
  <si>
    <r>
      <t xml:space="preserve">1.70 </t>
    </r>
    <r>
      <rPr>
        <sz val="14"/>
        <rFont val="Arial"/>
      </rPr>
      <t>±</t>
    </r>
    <r>
      <rPr>
        <sz val="14"/>
        <color rgb="FF000000"/>
        <rFont val="Times New Roman"/>
      </rPr>
      <t xml:space="preserve"> 1.64</t>
    </r>
  </si>
  <si>
    <t>Cp (25)</t>
  </si>
  <si>
    <t>Cp(50)</t>
  </si>
  <si>
    <t>log</t>
  </si>
  <si>
    <t>log C= -0.321+1.0006</t>
  </si>
  <si>
    <t>log C=-0.0439t+0.8802</t>
  </si>
  <si>
    <t>logCpe-Cp</t>
  </si>
  <si>
    <t>ABSORPSI</t>
  </si>
  <si>
    <t>Y=-0.7985+1.3191</t>
  </si>
  <si>
    <t>LOG( Cpe-c)</t>
  </si>
  <si>
    <t>LOW</t>
  </si>
  <si>
    <t>HIGH</t>
  </si>
  <si>
    <t>AV</t>
  </si>
  <si>
    <t xml:space="preserve"> I . log Cp</t>
  </si>
  <si>
    <t>GRAFIK, BRP TTK ELM</t>
  </si>
  <si>
    <t>LoG Cp=-0,038t+1.667</t>
  </si>
  <si>
    <r>
      <t xml:space="preserve">PERS EL:  </t>
    </r>
    <r>
      <rPr>
        <b/>
        <sz val="11"/>
        <color rgb="FFFF0000"/>
        <rFont val="Calibri"/>
        <family val="2"/>
        <scheme val="minor"/>
      </rPr>
      <t>LoG Cp=-0,038t+1.667</t>
    </r>
  </si>
  <si>
    <t>LOG CP FS ELMN</t>
  </si>
  <si>
    <r>
      <t xml:space="preserve">Cpe-Cp   </t>
    </r>
    <r>
      <rPr>
        <sz val="11"/>
        <color rgb="FF00B050"/>
        <rFont val="Calibri"/>
        <family val="2"/>
        <scheme val="minor"/>
      </rPr>
      <t xml:space="preserve">---  - </t>
    </r>
    <r>
      <rPr>
        <sz val="11"/>
        <color theme="4" tint="-0.249977111117893"/>
        <rFont val="Calibri"/>
        <family val="2"/>
        <scheme val="minor"/>
      </rPr>
      <t>----- ABSR</t>
    </r>
  </si>
  <si>
    <t>log Cp=-0.152 t + 1.667</t>
  </si>
  <si>
    <t>Ka= 2.303x-0.152</t>
  </si>
  <si>
    <t>Cpe di fs absorpsi=  anti log Cpe</t>
  </si>
  <si>
    <t>T (jam)</t>
  </si>
  <si>
    <t xml:space="preserve">Cp </t>
  </si>
  <si>
    <t>Log Cp</t>
  </si>
  <si>
    <t>ELIINASI</t>
  </si>
  <si>
    <t>Y=-1.1022X+29.819</t>
  </si>
  <si>
    <t>LOcP</t>
  </si>
  <si>
    <t>Log Cp= -1.1022t +29.819</t>
  </si>
  <si>
    <t>Y=-0.2111X +1.14</t>
  </si>
  <si>
    <t>LOG c= -0.2111 T+1.14</t>
  </si>
  <si>
    <t>KE= -SLOPX 2.303</t>
  </si>
  <si>
    <t>anti log Cpe</t>
  </si>
  <si>
    <t xml:space="preserve">ELIM </t>
  </si>
  <si>
    <t>LOG Cp=-0.2111tr + 1.14</t>
  </si>
  <si>
    <t>PERPNJNGN           Log Cp=-0.2111t +1.14</t>
  </si>
  <si>
    <t>Cpe-Cp= Ca</t>
  </si>
  <si>
    <t>log Cpe-Cp atau log Ca:                      log Cp=-0.6967 t +1.143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</si>
</sst>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6" x14ac:knownFonts="1"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perscript"/>
      <sz val="8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perscript"/>
      <sz val="8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0080"/>
      <name val="Times New Roman"/>
      <family val="1"/>
    </font>
    <font>
      <b/>
      <sz val="14"/>
      <color rgb="FFFFFFFF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4"/>
      <color rgb="FFFF0000"/>
      <name val="Calibri"/>
      <family val="2"/>
    </font>
    <font>
      <b/>
      <sz val="11"/>
      <color rgb="FF92D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b/>
      <vertAlign val="superscript"/>
      <sz val="14"/>
      <color rgb="FF000000"/>
      <name val="Times New Roman"/>
    </font>
    <font>
      <sz val="14"/>
      <name val="Arial"/>
    </font>
    <font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8"/>
      <color rgb="FFFFFFFF"/>
      <name val="Calibri"/>
    </font>
    <font>
      <sz val="18"/>
      <color rgb="FF000000"/>
      <name val="Calibri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center" readingOrder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4" readingOrder="1"/>
    </xf>
    <xf numFmtId="0" fontId="4" fillId="0" borderId="0" xfId="0" applyFont="1" applyAlignment="1">
      <alignment horizontal="center" readingOrder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readingOrder="1"/>
    </xf>
    <xf numFmtId="2" fontId="0" fillId="0" borderId="0" xfId="0" applyNumberFormat="1"/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2" fontId="7" fillId="2" borderId="0" xfId="0" applyNumberFormat="1" applyFont="1" applyFill="1"/>
    <xf numFmtId="0" fontId="9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5" fontId="0" fillId="0" borderId="0" xfId="0" applyNumberFormat="1"/>
    <xf numFmtId="0" fontId="12" fillId="0" borderId="0" xfId="0" applyFont="1"/>
    <xf numFmtId="0" fontId="11" fillId="0" borderId="0" xfId="0" applyFont="1"/>
    <xf numFmtId="165" fontId="0" fillId="6" borderId="0" xfId="0" applyNumberFormat="1" applyFill="1"/>
    <xf numFmtId="0" fontId="14" fillId="0" borderId="0" xfId="0" applyFont="1"/>
    <xf numFmtId="0" fontId="15" fillId="0" borderId="0" xfId="0" applyFont="1"/>
    <xf numFmtId="0" fontId="15" fillId="0" borderId="1" xfId="0" applyFont="1" applyBorder="1"/>
    <xf numFmtId="2" fontId="15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7" borderId="0" xfId="0" applyFill="1"/>
    <xf numFmtId="0" fontId="0" fillId="0" borderId="0" xfId="0" applyFill="1"/>
    <xf numFmtId="0" fontId="0" fillId="0" borderId="0" xfId="0" applyFill="1" applyAlignment="1"/>
    <xf numFmtId="0" fontId="22" fillId="0" borderId="0" xfId="0" applyFont="1" applyAlignment="1">
      <alignment horizontal="center" readingOrder="1"/>
    </xf>
    <xf numFmtId="0" fontId="0" fillId="0" borderId="0" xfId="0" applyFill="1" applyBorder="1" applyAlignment="1"/>
    <xf numFmtId="0" fontId="23" fillId="8" borderId="3" xfId="0" applyFont="1" applyFill="1" applyBorder="1" applyAlignment="1">
      <alignment horizontal="left" vertical="center" wrapText="1" readingOrder="1"/>
    </xf>
    <xf numFmtId="0" fontId="24" fillId="9" borderId="3" xfId="0" applyFont="1" applyFill="1" applyBorder="1" applyAlignment="1">
      <alignment horizontal="left" vertical="center" wrapText="1" readingOrder="1"/>
    </xf>
    <xf numFmtId="0" fontId="25" fillId="9" borderId="3" xfId="0" applyFont="1" applyFill="1" applyBorder="1" applyAlignment="1">
      <alignment horizontal="left" vertical="center" wrapText="1" readingOrder="1"/>
    </xf>
    <xf numFmtId="0" fontId="24" fillId="10" borderId="3" xfId="0" applyFont="1" applyFill="1" applyBorder="1" applyAlignment="1">
      <alignment horizontal="left" vertical="center" wrapText="1" readingOrder="1"/>
    </xf>
    <xf numFmtId="0" fontId="25" fillId="10" borderId="3" xfId="0" applyFont="1" applyFill="1" applyBorder="1" applyAlignment="1">
      <alignment horizontal="left" vertical="center" wrapText="1" readingOrder="1"/>
    </xf>
    <xf numFmtId="0" fontId="26" fillId="9" borderId="3" xfId="0" applyFont="1" applyFill="1" applyBorder="1" applyAlignment="1">
      <alignment horizontal="left" vertical="center" wrapText="1" readingOrder="1"/>
    </xf>
    <xf numFmtId="0" fontId="26" fillId="10" borderId="3" xfId="0" applyFont="1" applyFill="1" applyBorder="1" applyAlignment="1">
      <alignment horizontal="left" vertical="center" wrapText="1" readingOrder="1"/>
    </xf>
    <xf numFmtId="0" fontId="27" fillId="0" borderId="0" xfId="0" applyFont="1"/>
    <xf numFmtId="0" fontId="2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1" fillId="0" borderId="3" xfId="0" applyFont="1" applyBorder="1" applyAlignment="1">
      <alignment horizontal="center" vertical="center" wrapText="1" readingOrder="1"/>
    </xf>
    <xf numFmtId="0" fontId="31" fillId="0" borderId="7" xfId="0" applyFont="1" applyBorder="1" applyAlignment="1">
      <alignment horizontal="center" vertical="center" wrapText="1" readingOrder="1"/>
    </xf>
    <xf numFmtId="0" fontId="31" fillId="0" borderId="8" xfId="0" applyFont="1" applyBorder="1" applyAlignment="1">
      <alignment horizontal="center" vertical="center" wrapText="1" readingOrder="1"/>
    </xf>
    <xf numFmtId="0" fontId="30" fillId="0" borderId="3" xfId="0" applyFont="1" applyBorder="1" applyAlignment="1">
      <alignment horizontal="center" vertical="center" wrapText="1" readingOrder="1"/>
    </xf>
    <xf numFmtId="0" fontId="34" fillId="3" borderId="3" xfId="0" applyFont="1" applyFill="1" applyBorder="1" applyAlignment="1">
      <alignment horizontal="center" vertical="center" wrapText="1" readingOrder="1"/>
    </xf>
    <xf numFmtId="0" fontId="34" fillId="3" borderId="9" xfId="0" applyFont="1" applyFill="1" applyBorder="1" applyAlignment="1">
      <alignment horizontal="center" vertical="center" wrapText="1" readingOrder="1"/>
    </xf>
    <xf numFmtId="0" fontId="34" fillId="11" borderId="3" xfId="0" applyFont="1" applyFill="1" applyBorder="1" applyAlignment="1">
      <alignment horizontal="center" vertical="center" wrapText="1" readingOrder="1"/>
    </xf>
    <xf numFmtId="2" fontId="0" fillId="7" borderId="0" xfId="0" applyNumberFormat="1" applyFill="1"/>
    <xf numFmtId="0" fontId="37" fillId="0" borderId="0" xfId="0" applyFont="1"/>
    <xf numFmtId="0" fontId="37" fillId="12" borderId="0" xfId="0" applyFont="1" applyFill="1"/>
    <xf numFmtId="0" fontId="38" fillId="12" borderId="0" xfId="0" applyFont="1" applyFill="1"/>
    <xf numFmtId="0" fontId="39" fillId="13" borderId="10" xfId="0" applyFont="1" applyFill="1" applyBorder="1" applyAlignment="1">
      <alignment horizontal="left" vertical="center" wrapText="1" readingOrder="1"/>
    </xf>
    <xf numFmtId="0" fontId="40" fillId="14" borderId="11" xfId="0" applyFont="1" applyFill="1" applyBorder="1" applyAlignment="1">
      <alignment horizontal="left" vertical="center" wrapText="1" readingOrder="1"/>
    </xf>
    <xf numFmtId="0" fontId="40" fillId="14" borderId="12" xfId="0" applyFont="1" applyFill="1" applyBorder="1" applyAlignment="1">
      <alignment horizontal="left" vertical="center" wrapText="1" readingOrder="1"/>
    </xf>
    <xf numFmtId="2" fontId="0" fillId="4" borderId="0" xfId="0" applyNumberFormat="1" applyFill="1"/>
    <xf numFmtId="2" fontId="0" fillId="0" borderId="0" xfId="0" applyNumberFormat="1" applyFill="1"/>
    <xf numFmtId="0" fontId="41" fillId="14" borderId="11" xfId="0" applyFont="1" applyFill="1" applyBorder="1" applyAlignment="1">
      <alignment horizontal="left" vertical="center" wrapText="1" readingOrder="1"/>
    </xf>
    <xf numFmtId="0" fontId="40" fillId="11" borderId="13" xfId="0" applyFont="1" applyFill="1" applyBorder="1" applyAlignment="1">
      <alignment horizontal="left" vertical="center" wrapText="1" readingOrder="1"/>
    </xf>
    <xf numFmtId="0" fontId="0" fillId="11" borderId="0" xfId="0" applyFill="1"/>
    <xf numFmtId="0" fontId="42" fillId="0" borderId="16" xfId="0" applyFont="1" applyFill="1" applyBorder="1" applyAlignment="1">
      <alignment horizontal="left" vertical="center" wrapText="1" readingOrder="1"/>
    </xf>
    <xf numFmtId="0" fontId="40" fillId="0" borderId="17" xfId="0" applyFont="1" applyFill="1" applyBorder="1" applyAlignment="1">
      <alignment horizontal="left" vertical="center" wrapText="1" readingOrder="1"/>
    </xf>
    <xf numFmtId="0" fontId="43" fillId="0" borderId="15" xfId="0" applyFont="1" applyFill="1" applyBorder="1" applyAlignment="1">
      <alignment horizontal="left" vertical="center" wrapText="1" readingOrder="1"/>
    </xf>
    <xf numFmtId="0" fontId="44" fillId="0" borderId="15" xfId="0" applyFont="1" applyFill="1" applyBorder="1" applyAlignment="1">
      <alignment horizontal="center"/>
    </xf>
    <xf numFmtId="0" fontId="45" fillId="0" borderId="0" xfId="0" applyFont="1" applyFill="1"/>
    <xf numFmtId="0" fontId="42" fillId="3" borderId="14" xfId="0" applyFont="1" applyFill="1" applyBorder="1" applyAlignment="1">
      <alignment horizontal="left" vertical="center" wrapText="1" readingOrder="1"/>
    </xf>
    <xf numFmtId="0" fontId="21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4" xfId="0" applyFont="1" applyBorder="1" applyAlignment="1">
      <alignment horizontal="left" vertical="center" wrapText="1" readingOrder="1"/>
    </xf>
    <xf numFmtId="0" fontId="30" fillId="0" borderId="5" xfId="0" applyFont="1" applyBorder="1" applyAlignment="1">
      <alignment horizontal="left" vertical="center" wrapText="1" readingOrder="1"/>
    </xf>
    <xf numFmtId="0" fontId="30" fillId="0" borderId="6" xfId="0" applyFont="1" applyBorder="1" applyAlignment="1">
      <alignment horizontal="left" vertical="center" wrapText="1" readingOrder="1"/>
    </xf>
    <xf numFmtId="0" fontId="31" fillId="0" borderId="4" xfId="0" applyFont="1" applyBorder="1" applyAlignment="1">
      <alignment horizontal="center" vertical="center" wrapText="1" readingOrder="1"/>
    </xf>
    <xf numFmtId="0" fontId="31" fillId="0" borderId="6" xfId="0" applyFont="1" applyBorder="1" applyAlignment="1">
      <alignment horizontal="center" vertical="center" wrapText="1" readingOrder="1"/>
    </xf>
    <xf numFmtId="0" fontId="31" fillId="0" borderId="7" xfId="0" applyFont="1" applyBorder="1" applyAlignment="1">
      <alignment horizontal="left" vertical="center" wrapText="1" readingOrder="1"/>
    </xf>
    <xf numFmtId="0" fontId="31" fillId="0" borderId="8" xfId="0" applyFont="1" applyBorder="1" applyAlignment="1">
      <alignment horizontal="left" vertical="center" wrapText="1" readingOrder="1"/>
    </xf>
    <xf numFmtId="0" fontId="0" fillId="6" borderId="18" xfId="0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1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pers c</c:v>
          </c:tx>
          <c:trendline>
            <c:trendlineType val="linear"/>
            <c:dispRSqr val="1"/>
            <c:dispEq val="1"/>
            <c:trendlineLbl>
              <c:layout>
                <c:manualLayout>
                  <c:x val="0.36451844085248003"/>
                  <c:y val="-0.10440025505286415"/>
                </c:manualLayout>
              </c:layout>
              <c:numFmt formatCode="General" sourceLinked="0"/>
            </c:trendlineLbl>
          </c:trendline>
          <c:xVal>
            <c:numRef>
              <c:f>'iv 1k'!$B$3:$B$9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130</c:v>
                </c:pt>
              </c:numCache>
            </c:numRef>
          </c:xVal>
          <c:yVal>
            <c:numRef>
              <c:f>'iv 1k'!$C$3:$C$9</c:f>
              <c:numCache>
                <c:formatCode>0.0</c:formatCode>
                <c:ptCount val="7"/>
                <c:pt idx="0">
                  <c:v>96</c:v>
                </c:pt>
                <c:pt idx="1">
                  <c:v>89</c:v>
                </c:pt>
                <c:pt idx="2">
                  <c:v>73</c:v>
                </c:pt>
                <c:pt idx="3">
                  <c:v>57</c:v>
                </c:pt>
                <c:pt idx="4">
                  <c:v>34</c:v>
                </c:pt>
                <c:pt idx="5">
                  <c:v>10</c:v>
                </c:pt>
                <c:pt idx="6">
                  <c:v>2.5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28D-4132-88EC-0DEE614A6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66368"/>
        <c:axId val="135067904"/>
      </c:scatterChart>
      <c:valAx>
        <c:axId val="1350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67904"/>
        <c:crosses val="autoZero"/>
        <c:crossBetween val="midCat"/>
      </c:valAx>
      <c:valAx>
        <c:axId val="135067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5066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Soal no 1</c:v>
          </c:tx>
          <c:xVal>
            <c:numRef>
              <c:f>infus!$B$5:$I$5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</c:numCache>
            </c:numRef>
          </c:xVal>
          <c:yVal>
            <c:numRef>
              <c:f>infus!$B$6:$I$6</c:f>
              <c:numCache>
                <c:formatCode>General</c:formatCode>
                <c:ptCount val="8"/>
                <c:pt idx="0">
                  <c:v>37</c:v>
                </c:pt>
                <c:pt idx="1">
                  <c:v>65</c:v>
                </c:pt>
                <c:pt idx="2">
                  <c:v>83</c:v>
                </c:pt>
                <c:pt idx="3">
                  <c:v>97</c:v>
                </c:pt>
                <c:pt idx="4">
                  <c:v>113</c:v>
                </c:pt>
                <c:pt idx="5">
                  <c:v>122</c:v>
                </c:pt>
                <c:pt idx="6">
                  <c:v>128</c:v>
                </c:pt>
                <c:pt idx="7">
                  <c:v>130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43-429D-A460-893093391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75232"/>
        <c:axId val="140176768"/>
      </c:scatterChart>
      <c:valAx>
        <c:axId val="1401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76768"/>
        <c:crosses val="autoZero"/>
        <c:crossBetween val="midCat"/>
      </c:valAx>
      <c:valAx>
        <c:axId val="140176768"/>
        <c:scaling>
          <c:logBase val="10"/>
          <c:orientation val="minMax"/>
          <c:max val="100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40175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INFUS 1</c:v>
          </c:tx>
          <c:xVal>
            <c:numRef>
              <c:f>infus!$C$34:$R$34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infus!$C$35:$R$35</c:f>
              <c:numCache>
                <c:formatCode>General</c:formatCode>
                <c:ptCount val="16"/>
                <c:pt idx="0">
                  <c:v>0</c:v>
                </c:pt>
                <c:pt idx="1">
                  <c:v>1.81</c:v>
                </c:pt>
                <c:pt idx="2">
                  <c:v>3.3</c:v>
                </c:pt>
                <c:pt idx="3">
                  <c:v>2.7</c:v>
                </c:pt>
                <c:pt idx="4">
                  <c:v>2.21</c:v>
                </c:pt>
                <c:pt idx="5">
                  <c:v>1.81</c:v>
                </c:pt>
                <c:pt idx="6">
                  <c:v>1.48</c:v>
                </c:pt>
                <c:pt idx="7">
                  <c:v>1.21</c:v>
                </c:pt>
                <c:pt idx="8">
                  <c:v>0.99</c:v>
                </c:pt>
                <c:pt idx="9">
                  <c:v>0.81</c:v>
                </c:pt>
                <c:pt idx="10">
                  <c:v>0.67</c:v>
                </c:pt>
                <c:pt idx="11">
                  <c:v>0.55000000000000004</c:v>
                </c:pt>
                <c:pt idx="12">
                  <c:v>0.45</c:v>
                </c:pt>
                <c:pt idx="13">
                  <c:v>0.37</c:v>
                </c:pt>
                <c:pt idx="14">
                  <c:v>0.3</c:v>
                </c:pt>
                <c:pt idx="15">
                  <c:v>0.25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79-4BB3-8C14-691172EEB3B0}"/>
            </c:ext>
          </c:extLst>
        </c:ser>
        <c:ser>
          <c:idx val="1"/>
          <c:order val="1"/>
          <c:tx>
            <c:v>INFUS 2</c:v>
          </c:tx>
          <c:xVal>
            <c:numRef>
              <c:f>infus!$M$34:$R$34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xVal>
          <c:yVal>
            <c:numRef>
              <c:f>infus!$M$36:$R$36</c:f>
              <c:numCache>
                <c:formatCode>General</c:formatCode>
                <c:ptCount val="6"/>
                <c:pt idx="0">
                  <c:v>0</c:v>
                </c:pt>
                <c:pt idx="1">
                  <c:v>1.81</c:v>
                </c:pt>
                <c:pt idx="2">
                  <c:v>3.3</c:v>
                </c:pt>
                <c:pt idx="3">
                  <c:v>2.7</c:v>
                </c:pt>
                <c:pt idx="4">
                  <c:v>2.21</c:v>
                </c:pt>
                <c:pt idx="5">
                  <c:v>1.81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79-4BB3-8C14-691172EEB3B0}"/>
            </c:ext>
          </c:extLst>
        </c:ser>
        <c:ser>
          <c:idx val="2"/>
          <c:order val="2"/>
          <c:tx>
            <c:v>TOTAL </c:v>
          </c:tx>
          <c:xVal>
            <c:numRef>
              <c:f>infus!$C$34:$R$34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infus!$C$37:$R$37</c:f>
              <c:numCache>
                <c:formatCode>General</c:formatCode>
                <c:ptCount val="16"/>
                <c:pt idx="0">
                  <c:v>0</c:v>
                </c:pt>
                <c:pt idx="1">
                  <c:v>1.81</c:v>
                </c:pt>
                <c:pt idx="2">
                  <c:v>3.3</c:v>
                </c:pt>
                <c:pt idx="3">
                  <c:v>2.7</c:v>
                </c:pt>
                <c:pt idx="4">
                  <c:v>2.21</c:v>
                </c:pt>
                <c:pt idx="5">
                  <c:v>1.81</c:v>
                </c:pt>
                <c:pt idx="6">
                  <c:v>1.48</c:v>
                </c:pt>
                <c:pt idx="7">
                  <c:v>1.21</c:v>
                </c:pt>
                <c:pt idx="8">
                  <c:v>0.99</c:v>
                </c:pt>
                <c:pt idx="9">
                  <c:v>0.81</c:v>
                </c:pt>
                <c:pt idx="10">
                  <c:v>0.67</c:v>
                </c:pt>
                <c:pt idx="11">
                  <c:v>2.36</c:v>
                </c:pt>
                <c:pt idx="12">
                  <c:v>3.74</c:v>
                </c:pt>
                <c:pt idx="13">
                  <c:v>3.07</c:v>
                </c:pt>
                <c:pt idx="14">
                  <c:v>2.5099999999999998</c:v>
                </c:pt>
                <c:pt idx="15">
                  <c:v>2.06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79-4BB3-8C14-691172EE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04288"/>
        <c:axId val="140222464"/>
      </c:scatterChart>
      <c:valAx>
        <c:axId val="1402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222464"/>
        <c:crosses val="autoZero"/>
        <c:crossBetween val="midCat"/>
      </c:valAx>
      <c:valAx>
        <c:axId val="140222464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40204288"/>
        <c:crosses val="autoZero"/>
        <c:crossBetween val="midCat"/>
        <c:min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Prokainamid</c:v>
          </c:tx>
          <c:xVal>
            <c:numRef>
              <c:f>infus!$C$25:$G$25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infus!$C$26:$G$26</c:f>
              <c:numCache>
                <c:formatCode>General</c:formatCode>
                <c:ptCount val="5"/>
                <c:pt idx="0">
                  <c:v>0</c:v>
                </c:pt>
                <c:pt idx="1">
                  <c:v>37</c:v>
                </c:pt>
                <c:pt idx="2">
                  <c:v>65</c:v>
                </c:pt>
                <c:pt idx="3">
                  <c:v>83</c:v>
                </c:pt>
                <c:pt idx="4">
                  <c:v>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7A-4792-9327-A419138B5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16672"/>
        <c:axId val="140318208"/>
      </c:scatterChart>
      <c:valAx>
        <c:axId val="140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18208"/>
        <c:crosses val="autoZero"/>
        <c:crossBetween val="midCat"/>
      </c:valAx>
      <c:valAx>
        <c:axId val="140318208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40316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049582131998044E-2"/>
          <c:y val="5.3830377922069989E-2"/>
          <c:w val="0.82246719160104931"/>
          <c:h val="0.78868669484640619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xVal>
            <c:numRef>
              <c:f>abs!$B$24:$K$24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20</c:v>
                </c:pt>
              </c:numCache>
            </c:numRef>
          </c:xVal>
          <c:yVal>
            <c:numRef>
              <c:f>abs!$B$26:$K$26</c:f>
              <c:numCache>
                <c:formatCode>General</c:formatCode>
                <c:ptCount val="10"/>
                <c:pt idx="0">
                  <c:v>0.45484486000851021</c:v>
                </c:pt>
                <c:pt idx="1">
                  <c:v>0.73479982958884693</c:v>
                </c:pt>
                <c:pt idx="2">
                  <c:v>0.88930170250631024</c:v>
                </c:pt>
                <c:pt idx="3">
                  <c:v>0.99299509843134148</c:v>
                </c:pt>
                <c:pt idx="4">
                  <c:v>1.209515014542631</c:v>
                </c:pt>
                <c:pt idx="5">
                  <c:v>1.3453737305590883</c:v>
                </c:pt>
                <c:pt idx="6">
                  <c:v>1.3619166186686433</c:v>
                </c:pt>
                <c:pt idx="7">
                  <c:v>1.2808059283936668</c:v>
                </c:pt>
                <c:pt idx="8">
                  <c:v>1.1430148002540952</c:v>
                </c:pt>
                <c:pt idx="9">
                  <c:v>0.90145832139611237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DA-4979-A314-EB85385C010C}"/>
            </c:ext>
          </c:extLst>
        </c:ser>
        <c:ser>
          <c:idx val="1"/>
          <c:order val="1"/>
          <c:tx>
            <c:v>F. ELIMIN</c:v>
          </c:tx>
          <c:trendline>
            <c:trendlineType val="linear"/>
            <c:dispRSqr val="1"/>
            <c:dispEq val="1"/>
            <c:trendlineLbl>
              <c:layout>
                <c:manualLayout>
                  <c:x val="0.14583727545524813"/>
                  <c:y val="-0.12469811054930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abs!$I$24:$K$24</c:f>
              <c:numCache>
                <c:formatCode>0.00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20</c:v>
                </c:pt>
              </c:numCache>
            </c:numRef>
          </c:xVal>
          <c:yVal>
            <c:numRef>
              <c:f>abs!$I$26:$K$26</c:f>
              <c:numCache>
                <c:formatCode>General</c:formatCode>
                <c:ptCount val="3"/>
                <c:pt idx="0">
                  <c:v>1.2808059283936668</c:v>
                </c:pt>
                <c:pt idx="1">
                  <c:v>1.1430148002540952</c:v>
                </c:pt>
                <c:pt idx="2">
                  <c:v>0.90145832139611237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DA-4979-A314-EB85385C010C}"/>
            </c:ext>
          </c:extLst>
        </c:ser>
        <c:ser>
          <c:idx val="2"/>
          <c:order val="2"/>
          <c:tx>
            <c:v>FS ELIM 2</c:v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abs!$B$24:$K$24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20</c:v>
                </c:pt>
              </c:numCache>
            </c:numRef>
          </c:xVal>
          <c:yVal>
            <c:numRef>
              <c:f>abs!$B$27:$K$27</c:f>
              <c:numCache>
                <c:formatCode>General</c:formatCode>
                <c:ptCount val="10"/>
                <c:pt idx="0">
                  <c:v>1.6575</c:v>
                </c:pt>
                <c:pt idx="1">
                  <c:v>1.6480000000000001</c:v>
                </c:pt>
                <c:pt idx="2">
                  <c:v>1.6385000000000001</c:v>
                </c:pt>
                <c:pt idx="3">
                  <c:v>1.629</c:v>
                </c:pt>
                <c:pt idx="4">
                  <c:v>1.591</c:v>
                </c:pt>
                <c:pt idx="5">
                  <c:v>1.5150000000000001</c:v>
                </c:pt>
                <c:pt idx="6">
                  <c:v>1.4390000000000001</c:v>
                </c:pt>
                <c:pt idx="7">
                  <c:v>1.2809999999999999</c:v>
                </c:pt>
                <c:pt idx="8">
                  <c:v>1.143</c:v>
                </c:pt>
                <c:pt idx="9">
                  <c:v>0.90149999999999997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DA-4979-A314-EB85385C010C}"/>
            </c:ext>
          </c:extLst>
        </c:ser>
        <c:ser>
          <c:idx val="3"/>
          <c:order val="3"/>
          <c:tx>
            <c:v>fs absorpsi</c:v>
          </c:tx>
          <c:trendline>
            <c:trendlineType val="linear"/>
            <c:dispRSqr val="1"/>
            <c:dispEq val="1"/>
            <c:trendlineLbl>
              <c:layout>
                <c:manualLayout>
                  <c:x val="0.25221398492294567"/>
                  <c:y val="0.19926383953496868"/>
                </c:manualLayout>
              </c:layout>
              <c:numFmt formatCode="General" sourceLinked="0"/>
            </c:trendlineLbl>
          </c:trendline>
          <c:xVal>
            <c:numRef>
              <c:f>abs!$B$24:$D$24</c:f>
              <c:numCache>
                <c:formatCode>0.00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</c:numCache>
            </c:numRef>
          </c:xVal>
          <c:yVal>
            <c:numRef>
              <c:f>abs!$B$30:$D$30</c:f>
              <c:numCache>
                <c:formatCode>General</c:formatCode>
                <c:ptCount val="3"/>
                <c:pt idx="0">
                  <c:v>1.6293734443250034</c:v>
                </c:pt>
                <c:pt idx="1">
                  <c:v>1.5914333418151929</c:v>
                </c:pt>
                <c:pt idx="2">
                  <c:v>1.5532891180593453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BDA-4979-A314-EB85385C010C}"/>
            </c:ext>
          </c:extLst>
        </c:ser>
        <c:ser>
          <c:idx val="4"/>
          <c:order val="4"/>
          <c:tx>
            <c:v>abs lanjutan</c:v>
          </c:tx>
          <c:xVal>
            <c:numRef>
              <c:f>abs!$F$24:$K$24</c:f>
              <c:numCache>
                <c:formatCode>0.00</c:formatCod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14</c:v>
                </c:pt>
                <c:pt idx="5">
                  <c:v>20</c:v>
                </c:pt>
              </c:numCache>
            </c:numRef>
          </c:xVal>
          <c:yVal>
            <c:numRef>
              <c:f>abs!$F$30:$K$30</c:f>
              <c:numCache>
                <c:formatCode>General</c:formatCode>
                <c:ptCount val="6"/>
                <c:pt idx="0">
                  <c:v>1.363</c:v>
                </c:pt>
                <c:pt idx="1">
                  <c:v>1.0590000000000002</c:v>
                </c:pt>
                <c:pt idx="2">
                  <c:v>0.75500000000000012</c:v>
                </c:pt>
                <c:pt idx="3">
                  <c:v>0.14700000000000002</c:v>
                </c:pt>
                <c:pt idx="4">
                  <c:v>-0.46100000000000008</c:v>
                </c:pt>
                <c:pt idx="5">
                  <c:v>-1.373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BDA-4979-A314-EB85385C0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23936"/>
        <c:axId val="140425472"/>
      </c:scatterChart>
      <c:valAx>
        <c:axId val="1404239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0425472"/>
        <c:crossesAt val="0"/>
        <c:crossBetween val="midCat"/>
      </c:valAx>
      <c:valAx>
        <c:axId val="14042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23936"/>
        <c:crosses val="autoZero"/>
        <c:crossBetween val="midCat"/>
        <c:minorUnit val="1.0000000000000005E-2"/>
      </c:valAx>
    </c:plotArea>
    <c:legend>
      <c:legendPos val="r"/>
      <c:layout>
        <c:manualLayout>
          <c:xMode val="edge"/>
          <c:yMode val="edge"/>
          <c:x val="0.7666822794691649"/>
          <c:y val="0.23210498687664041"/>
          <c:w val="0.21458235753317725"/>
          <c:h val="0.535790026246719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171780530518E-2"/>
          <c:y val="3.8565188290414623E-2"/>
          <c:w val="0.9033007776955464"/>
          <c:h val="0.92875630616683313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xVal>
            <c:numRef>
              <c:f>abs!$B$3:$U$3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24</c:v>
                </c:pt>
                <c:pt idx="16">
                  <c:v>28</c:v>
                </c:pt>
                <c:pt idx="17">
                  <c:v>32</c:v>
                </c:pt>
                <c:pt idx="18">
                  <c:v>36</c:v>
                </c:pt>
                <c:pt idx="19">
                  <c:v>48</c:v>
                </c:pt>
              </c:numCache>
            </c:numRef>
          </c:xVal>
          <c:yVal>
            <c:numRef>
              <c:f>abs!$B$9:$U$9</c:f>
              <c:numCache>
                <c:formatCode>General</c:formatCode>
                <c:ptCount val="20"/>
                <c:pt idx="0">
                  <c:v>0</c:v>
                </c:pt>
                <c:pt idx="1">
                  <c:v>0.49554433754644844</c:v>
                </c:pt>
                <c:pt idx="2">
                  <c:v>0.69284691927722997</c:v>
                </c:pt>
                <c:pt idx="3">
                  <c:v>0.7678976160180907</c:v>
                </c:pt>
                <c:pt idx="4">
                  <c:v>0.79588001734407521</c:v>
                </c:pt>
                <c:pt idx="5">
                  <c:v>0.79795964373719619</c:v>
                </c:pt>
                <c:pt idx="6">
                  <c:v>0.78604121024255424</c:v>
                </c:pt>
                <c:pt idx="7">
                  <c:v>0.76417613239033066</c:v>
                </c:pt>
                <c:pt idx="8">
                  <c:v>0.73639650227664244</c:v>
                </c:pt>
                <c:pt idx="9">
                  <c:v>0.70415051683979912</c:v>
                </c:pt>
                <c:pt idx="10">
                  <c:v>0.66838591669000014</c:v>
                </c:pt>
                <c:pt idx="11">
                  <c:v>0.59106460702649921</c:v>
                </c:pt>
                <c:pt idx="12">
                  <c:v>0.51054501020661214</c:v>
                </c:pt>
                <c:pt idx="13">
                  <c:v>0.42651126136457523</c:v>
                </c:pt>
                <c:pt idx="14">
                  <c:v>0.34044411484011833</c:v>
                </c:pt>
                <c:pt idx="15">
                  <c:v>7.9181246047624818E-2</c:v>
                </c:pt>
                <c:pt idx="16">
                  <c:v>-9.1514981121350217E-2</c:v>
                </c:pt>
                <c:pt idx="17">
                  <c:v>-0.26760624017703144</c:v>
                </c:pt>
                <c:pt idx="18">
                  <c:v>-0.44369749923271273</c:v>
                </c:pt>
                <c:pt idx="19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F0-4A96-93F2-52461A70141B}"/>
            </c:ext>
          </c:extLst>
        </c:ser>
        <c:ser>
          <c:idx val="1"/>
          <c:order val="1"/>
          <c:tx>
            <c:v>ELIMINASI</c:v>
          </c:tx>
          <c:trendline>
            <c:trendlineType val="linear"/>
            <c:dispRSqr val="1"/>
            <c:dispEq val="1"/>
            <c:trendlineLbl>
              <c:layout>
                <c:manualLayout>
                  <c:x val="0.40907458442694672"/>
                  <c:y val="-0.73125775409820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abs!$B$7:$U$7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24</c:v>
                </c:pt>
                <c:pt idx="16">
                  <c:v>28</c:v>
                </c:pt>
                <c:pt idx="17">
                  <c:v>32</c:v>
                </c:pt>
                <c:pt idx="18">
                  <c:v>36</c:v>
                </c:pt>
                <c:pt idx="19">
                  <c:v>48</c:v>
                </c:pt>
              </c:numCache>
            </c:numRef>
          </c:xVal>
          <c:yVal>
            <c:numRef>
              <c:f>abs!$B$10:$U$10</c:f>
              <c:numCache>
                <c:formatCode>General</c:formatCode>
                <c:ptCount val="20"/>
                <c:pt idx="0">
                  <c:v>1.1299999999999999</c:v>
                </c:pt>
                <c:pt idx="1">
                  <c:v>1.0859999999999999</c:v>
                </c:pt>
                <c:pt idx="2">
                  <c:v>1.0419999999999998</c:v>
                </c:pt>
                <c:pt idx="3">
                  <c:v>0.99799999999999989</c:v>
                </c:pt>
                <c:pt idx="4">
                  <c:v>0.95399999999999996</c:v>
                </c:pt>
                <c:pt idx="5">
                  <c:v>0.90999999999999992</c:v>
                </c:pt>
                <c:pt idx="6">
                  <c:v>0.86599999999999988</c:v>
                </c:pt>
                <c:pt idx="7">
                  <c:v>0.82199999999999984</c:v>
                </c:pt>
                <c:pt idx="8">
                  <c:v>0.77799999999999991</c:v>
                </c:pt>
                <c:pt idx="9">
                  <c:v>0.73399999999999999</c:v>
                </c:pt>
                <c:pt idx="10">
                  <c:v>0.69</c:v>
                </c:pt>
                <c:pt idx="11">
                  <c:v>0.60199999999999987</c:v>
                </c:pt>
                <c:pt idx="12">
                  <c:v>0.5139999999999999</c:v>
                </c:pt>
                <c:pt idx="13">
                  <c:v>0.42599999999999993</c:v>
                </c:pt>
                <c:pt idx="14">
                  <c:v>0.33799999999999997</c:v>
                </c:pt>
                <c:pt idx="15">
                  <c:v>7.3999999999999844E-2</c:v>
                </c:pt>
                <c:pt idx="16">
                  <c:v>-0.10200000000000009</c:v>
                </c:pt>
                <c:pt idx="17">
                  <c:v>-0.27800000000000002</c:v>
                </c:pt>
                <c:pt idx="18">
                  <c:v>-0.45399999999999996</c:v>
                </c:pt>
                <c:pt idx="19">
                  <c:v>-0.98200000000000021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F0-4A96-93F2-52461A70141B}"/>
            </c:ext>
          </c:extLst>
        </c:ser>
        <c:ser>
          <c:idx val="2"/>
          <c:order val="2"/>
          <c:tx>
            <c:v>ABS</c:v>
          </c:tx>
          <c:trendline>
            <c:trendlineType val="linear"/>
            <c:dispRSqr val="1"/>
            <c:dispEq val="1"/>
            <c:trendlineLbl>
              <c:layout>
                <c:manualLayout>
                  <c:x val="0.19517205957883918"/>
                  <c:y val="-0.14916251508752154"/>
                </c:manualLayout>
              </c:layout>
              <c:numFmt formatCode="General" sourceLinked="0"/>
            </c:trendlineLbl>
          </c:trendline>
          <c:xVal>
            <c:numRef>
              <c:f>abs!$B$7:$D$7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abs!$B$13:$D$13</c:f>
              <c:numCache>
                <c:formatCode>General</c:formatCode>
                <c:ptCount val="3"/>
                <c:pt idx="0">
                  <c:v>1.1299999999999999</c:v>
                </c:pt>
                <c:pt idx="1">
                  <c:v>0.95712321185400373</c:v>
                </c:pt>
                <c:pt idx="2">
                  <c:v>0.78428863739848687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F0-4A96-93F2-52461A70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54144"/>
        <c:axId val="140464128"/>
      </c:scatterChart>
      <c:valAx>
        <c:axId val="1404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64128"/>
        <c:crosses val="autoZero"/>
        <c:crossBetween val="midCat"/>
      </c:valAx>
      <c:valAx>
        <c:axId val="14046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54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9252249432126"/>
          <c:y val="7.1768548015467518E-2"/>
          <c:w val="0.79415540947289853"/>
          <c:h val="0.87173007954158421"/>
        </c:manualLayout>
      </c:layout>
      <c:scatterChart>
        <c:scatterStyle val="smoothMarker"/>
        <c:varyColors val="0"/>
        <c:ser>
          <c:idx val="0"/>
          <c:order val="0"/>
          <c:tx>
            <c:v>PROFIL</c:v>
          </c:tx>
          <c:marker>
            <c:symbol val="none"/>
          </c:marker>
          <c:xVal>
            <c:numRef>
              <c:f>abs!$B$7:$U$7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24</c:v>
                </c:pt>
                <c:pt idx="16">
                  <c:v>28</c:v>
                </c:pt>
                <c:pt idx="17">
                  <c:v>32</c:v>
                </c:pt>
                <c:pt idx="18">
                  <c:v>36</c:v>
                </c:pt>
                <c:pt idx="19">
                  <c:v>48</c:v>
                </c:pt>
              </c:numCache>
            </c:numRef>
          </c:xVal>
          <c:yVal>
            <c:numRef>
              <c:f>abs!$B$9:$U$9</c:f>
              <c:numCache>
                <c:formatCode>General</c:formatCode>
                <c:ptCount val="20"/>
                <c:pt idx="0">
                  <c:v>0</c:v>
                </c:pt>
                <c:pt idx="1">
                  <c:v>0.49554433754644844</c:v>
                </c:pt>
                <c:pt idx="2">
                  <c:v>0.69284691927722997</c:v>
                </c:pt>
                <c:pt idx="3">
                  <c:v>0.7678976160180907</c:v>
                </c:pt>
                <c:pt idx="4">
                  <c:v>0.79588001734407521</c:v>
                </c:pt>
                <c:pt idx="5">
                  <c:v>0.79795964373719619</c:v>
                </c:pt>
                <c:pt idx="6">
                  <c:v>0.78604121024255424</c:v>
                </c:pt>
                <c:pt idx="7">
                  <c:v>0.76417613239033066</c:v>
                </c:pt>
                <c:pt idx="8">
                  <c:v>0.73639650227664244</c:v>
                </c:pt>
                <c:pt idx="9">
                  <c:v>0.70415051683979912</c:v>
                </c:pt>
                <c:pt idx="10">
                  <c:v>0.66838591669000014</c:v>
                </c:pt>
                <c:pt idx="11">
                  <c:v>0.59106460702649921</c:v>
                </c:pt>
                <c:pt idx="12">
                  <c:v>0.51054501020661214</c:v>
                </c:pt>
                <c:pt idx="13">
                  <c:v>0.42651126136457523</c:v>
                </c:pt>
                <c:pt idx="14">
                  <c:v>0.34044411484011833</c:v>
                </c:pt>
                <c:pt idx="15">
                  <c:v>7.9181246047624818E-2</c:v>
                </c:pt>
                <c:pt idx="16">
                  <c:v>-9.1514981121350217E-2</c:v>
                </c:pt>
                <c:pt idx="17">
                  <c:v>-0.26760624017703144</c:v>
                </c:pt>
                <c:pt idx="18">
                  <c:v>-0.44369749923271273</c:v>
                </c:pt>
                <c:pt idx="19">
                  <c:v>-1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56-47AA-B3EB-5A5F232224BD}"/>
            </c:ext>
          </c:extLst>
        </c:ser>
        <c:ser>
          <c:idx val="1"/>
          <c:order val="1"/>
          <c:tx>
            <c:v>EL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abs!$B$7:$U$7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24</c:v>
                </c:pt>
                <c:pt idx="16">
                  <c:v>28</c:v>
                </c:pt>
                <c:pt idx="17">
                  <c:v>32</c:v>
                </c:pt>
                <c:pt idx="18">
                  <c:v>36</c:v>
                </c:pt>
                <c:pt idx="19">
                  <c:v>48</c:v>
                </c:pt>
              </c:numCache>
            </c:numRef>
          </c:xVal>
          <c:yVal>
            <c:numRef>
              <c:f>abs!$B$10:$U$10</c:f>
              <c:numCache>
                <c:formatCode>General</c:formatCode>
                <c:ptCount val="20"/>
                <c:pt idx="0">
                  <c:v>1.1299999999999999</c:v>
                </c:pt>
                <c:pt idx="1">
                  <c:v>1.0859999999999999</c:v>
                </c:pt>
                <c:pt idx="2">
                  <c:v>1.0419999999999998</c:v>
                </c:pt>
                <c:pt idx="3">
                  <c:v>0.99799999999999989</c:v>
                </c:pt>
                <c:pt idx="4">
                  <c:v>0.95399999999999996</c:v>
                </c:pt>
                <c:pt idx="5">
                  <c:v>0.90999999999999992</c:v>
                </c:pt>
                <c:pt idx="6">
                  <c:v>0.86599999999999988</c:v>
                </c:pt>
                <c:pt idx="7">
                  <c:v>0.82199999999999984</c:v>
                </c:pt>
                <c:pt idx="8">
                  <c:v>0.77799999999999991</c:v>
                </c:pt>
                <c:pt idx="9">
                  <c:v>0.73399999999999999</c:v>
                </c:pt>
                <c:pt idx="10">
                  <c:v>0.69</c:v>
                </c:pt>
                <c:pt idx="11">
                  <c:v>0.60199999999999987</c:v>
                </c:pt>
                <c:pt idx="12">
                  <c:v>0.5139999999999999</c:v>
                </c:pt>
                <c:pt idx="13">
                  <c:v>0.42599999999999993</c:v>
                </c:pt>
                <c:pt idx="14">
                  <c:v>0.33799999999999997</c:v>
                </c:pt>
                <c:pt idx="15">
                  <c:v>7.3999999999999844E-2</c:v>
                </c:pt>
                <c:pt idx="16">
                  <c:v>-0.10200000000000009</c:v>
                </c:pt>
                <c:pt idx="17">
                  <c:v>-0.27800000000000002</c:v>
                </c:pt>
                <c:pt idx="18">
                  <c:v>-0.45399999999999996</c:v>
                </c:pt>
                <c:pt idx="19">
                  <c:v>-0.98200000000000021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E56-47AA-B3EB-5A5F232224BD}"/>
            </c:ext>
          </c:extLst>
        </c:ser>
        <c:ser>
          <c:idx val="2"/>
          <c:order val="2"/>
          <c:tx>
            <c:v>ABS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30173292558613651"/>
                  <c:y val="-0.164192662940033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abs!$B$7:$D$7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abs!$B$13:$D$13</c:f>
              <c:numCache>
                <c:formatCode>General</c:formatCode>
                <c:ptCount val="3"/>
                <c:pt idx="0">
                  <c:v>1.1299999999999999</c:v>
                </c:pt>
                <c:pt idx="1">
                  <c:v>0.95712321185400373</c:v>
                </c:pt>
                <c:pt idx="2">
                  <c:v>0.78428863739848687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E56-47AA-B3EB-5A5F23222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96896"/>
        <c:axId val="140498432"/>
      </c:scatterChart>
      <c:valAx>
        <c:axId val="1404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98432"/>
        <c:crosses val="autoZero"/>
        <c:crossBetween val="midCat"/>
      </c:valAx>
      <c:valAx>
        <c:axId val="14049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96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abs!$B$24:$K$24</c:f>
              <c:strCache>
                <c:ptCount val="1"/>
                <c:pt idx="0">
                  <c:v>0.25 0.50 0.75 1.00 2.00 4.00 6.00 10.00 14.00 20.00</c:v>
                </c:pt>
              </c:strCache>
            </c:strRef>
          </c:tx>
          <c:xVal>
            <c:numRef>
              <c:f>abs!$B$24:$K$24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20</c:v>
                </c:pt>
              </c:numCache>
            </c:numRef>
          </c:xVal>
          <c:yVal>
            <c:numRef>
              <c:f>abs!$B$25:$K$25</c:f>
              <c:numCache>
                <c:formatCode>0.00</c:formatCode>
                <c:ptCount val="10"/>
                <c:pt idx="0">
                  <c:v>2.85</c:v>
                </c:pt>
                <c:pt idx="1">
                  <c:v>5.43</c:v>
                </c:pt>
                <c:pt idx="2">
                  <c:v>7.75</c:v>
                </c:pt>
                <c:pt idx="3">
                  <c:v>9.84</c:v>
                </c:pt>
                <c:pt idx="4">
                  <c:v>16.2</c:v>
                </c:pt>
                <c:pt idx="5">
                  <c:v>22.15</c:v>
                </c:pt>
                <c:pt idx="6">
                  <c:v>23.01</c:v>
                </c:pt>
                <c:pt idx="7">
                  <c:v>19.09</c:v>
                </c:pt>
                <c:pt idx="8">
                  <c:v>13.9</c:v>
                </c:pt>
                <c:pt idx="9">
                  <c:v>7.97</c:v>
                </c:pt>
              </c:numCache>
            </c:numRef>
          </c:yVal>
          <c:smooth val="1"/>
        </c:ser>
        <c:ser>
          <c:idx val="1"/>
          <c:order val="1"/>
          <c:tx>
            <c:v>ELMN</c:v>
          </c:tx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abs!$H$24:$K$24</c:f>
              <c:numCache>
                <c:formatCode>0.00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20</c:v>
                </c:pt>
              </c:numCache>
            </c:numRef>
          </c:xVal>
          <c:yVal>
            <c:numRef>
              <c:f>abs!$H$25:$K$25</c:f>
              <c:numCache>
                <c:formatCode>0.00</c:formatCode>
                <c:ptCount val="4"/>
                <c:pt idx="0">
                  <c:v>23.01</c:v>
                </c:pt>
                <c:pt idx="1">
                  <c:v>19.09</c:v>
                </c:pt>
                <c:pt idx="2">
                  <c:v>13.9</c:v>
                </c:pt>
                <c:pt idx="3">
                  <c:v>7.97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01984"/>
        <c:axId val="140616064"/>
      </c:scatterChart>
      <c:valAx>
        <c:axId val="1406019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0616064"/>
        <c:crosses val="autoZero"/>
        <c:crossBetween val="midCat"/>
      </c:valAx>
      <c:valAx>
        <c:axId val="140616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601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03733694286428E-2"/>
          <c:y val="6.9919072615923034E-2"/>
          <c:w val="0.7519118125159846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xVal>
            <c:numRef>
              <c:f>'2k iv'!$B$9:$J$9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</c:numCache>
            </c:numRef>
          </c:xVal>
          <c:yVal>
            <c:numRef>
              <c:f>'2k iv'!$B$11:$J$11</c:f>
              <c:numCache>
                <c:formatCode>0.00</c:formatCode>
                <c:ptCount val="9"/>
                <c:pt idx="0">
                  <c:v>1.6334684555795864</c:v>
                </c:pt>
                <c:pt idx="1">
                  <c:v>1.505149978319906</c:v>
                </c:pt>
                <c:pt idx="2">
                  <c:v>1.3010299956639813</c:v>
                </c:pt>
                <c:pt idx="3">
                  <c:v>1.146128035678238</c:v>
                </c:pt>
                <c:pt idx="4">
                  <c:v>1.0413926851582251</c:v>
                </c:pt>
                <c:pt idx="5">
                  <c:v>0.81291335664285558</c:v>
                </c:pt>
                <c:pt idx="6">
                  <c:v>0.44715803134221921</c:v>
                </c:pt>
                <c:pt idx="7">
                  <c:v>7.9181246047624818E-2</c:v>
                </c:pt>
                <c:pt idx="8">
                  <c:v>-0.28399665636520083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5D-4B93-A9C0-754C18D54E7D}"/>
            </c:ext>
          </c:extLst>
        </c:ser>
        <c:ser>
          <c:idx val="1"/>
          <c:order val="1"/>
          <c:tx>
            <c:v>Eliminasi</c:v>
          </c:tx>
          <c:trendline>
            <c:trendlineType val="linear"/>
            <c:dispRSqr val="1"/>
            <c:dispEq val="1"/>
            <c:trendlineLbl>
              <c:layout>
                <c:manualLayout>
                  <c:x val="0.46452660271394541"/>
                  <c:y val="-1.9826115485564327E-2"/>
                </c:manualLayout>
              </c:layout>
              <c:numFmt formatCode="General" sourceLinked="0"/>
            </c:trendlineLbl>
          </c:trendline>
          <c:xVal>
            <c:numRef>
              <c:f>'2k iv'!$H$9:$J$9</c:f>
              <c:numCache>
                <c:formatCode>0.00</c:formatCode>
                <c:ptCount val="3"/>
                <c:pt idx="0">
                  <c:v>8</c:v>
                </c:pt>
                <c:pt idx="1">
                  <c:v>12</c:v>
                </c:pt>
                <c:pt idx="2">
                  <c:v>16</c:v>
                </c:pt>
              </c:numCache>
            </c:numRef>
          </c:xVal>
          <c:yVal>
            <c:numRef>
              <c:f>'2k iv'!$H$13:$J$13</c:f>
              <c:numCache>
                <c:formatCode>General</c:formatCode>
                <c:ptCount val="3"/>
                <c:pt idx="0">
                  <c:v>0.44715803134221921</c:v>
                </c:pt>
                <c:pt idx="1">
                  <c:v>7.9181246047624818E-2</c:v>
                </c:pt>
                <c:pt idx="2">
                  <c:v>-0.28399665636520083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5D-4B93-A9C0-754C18D54E7D}"/>
            </c:ext>
          </c:extLst>
        </c:ser>
        <c:ser>
          <c:idx val="2"/>
          <c:order val="2"/>
          <c:tx>
            <c:v>Elim 2</c:v>
          </c:tx>
          <c:xVal>
            <c:numRef>
              <c:f>'2k iv'!$B$9:$J$9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</c:numCache>
            </c:numRef>
          </c:xVal>
          <c:yVal>
            <c:numRef>
              <c:f>'2k iv'!$B$13:$J$13</c:f>
              <c:numCache>
                <c:formatCode>General</c:formatCode>
                <c:ptCount val="9"/>
                <c:pt idx="0">
                  <c:v>1.15425</c:v>
                </c:pt>
                <c:pt idx="1">
                  <c:v>1.1315</c:v>
                </c:pt>
                <c:pt idx="2">
                  <c:v>1.0860000000000001</c:v>
                </c:pt>
                <c:pt idx="3">
                  <c:v>1.0405</c:v>
                </c:pt>
                <c:pt idx="4">
                  <c:v>0.99500000000000011</c:v>
                </c:pt>
                <c:pt idx="5">
                  <c:v>0.81300000000000006</c:v>
                </c:pt>
                <c:pt idx="6">
                  <c:v>0.44715803134221921</c:v>
                </c:pt>
                <c:pt idx="7">
                  <c:v>7.9181246047624818E-2</c:v>
                </c:pt>
                <c:pt idx="8">
                  <c:v>-0.28399665636520083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5D-4B93-A9C0-754C18D54E7D}"/>
            </c:ext>
          </c:extLst>
        </c:ser>
        <c:ser>
          <c:idx val="3"/>
          <c:order val="3"/>
          <c:tx>
            <c:v>Distribusi</c:v>
          </c:tx>
          <c:xVal>
            <c:numRef>
              <c:f>'2k iv'!$B$9:$F$9</c:f>
              <c:numCache>
                <c:formatCode>0.00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'2k iv'!#REF!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E5D-4B93-A9C0-754C18D54E7D}"/>
            </c:ext>
          </c:extLst>
        </c:ser>
        <c:ser>
          <c:idx val="4"/>
          <c:order val="4"/>
          <c:tx>
            <c:v>Dist</c:v>
          </c:tx>
          <c:trendline>
            <c:trendlineType val="linear"/>
            <c:dispRSqr val="1"/>
            <c:dispEq val="1"/>
            <c:trendlineLbl>
              <c:layout>
                <c:manualLayout>
                  <c:x val="0.13122434602782523"/>
                  <c:y val="-0.2798195538057745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t>y = -0.435x + 1.657
R² = 0.988</a:t>
                    </a:r>
                    <a:endParaRPr lang="en-US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'2k iv'!$B$9:$F$9</c:f>
              <c:numCache>
                <c:formatCode>0.00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'2k iv'!$B$16:$F$16</c:f>
              <c:numCache>
                <c:formatCode>General</c:formatCode>
                <c:ptCount val="5"/>
                <c:pt idx="0">
                  <c:v>1.6216513561100341</c:v>
                </c:pt>
                <c:pt idx="1">
                  <c:v>1.489515526224874</c:v>
                </c:pt>
                <c:pt idx="2">
                  <c:v>1.2767833847002688</c:v>
                </c:pt>
                <c:pt idx="3">
                  <c:v>1.1125882460230117</c:v>
                </c:pt>
                <c:pt idx="4">
                  <c:v>1.0002170929722303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5D-4B93-A9C0-754C18D54E7D}"/>
            </c:ext>
          </c:extLst>
        </c:ser>
        <c:ser>
          <c:idx val="5"/>
          <c:order val="5"/>
          <c:tx>
            <c:v>Dist 2</c:v>
          </c:tx>
          <c:xVal>
            <c:numRef>
              <c:f>'2k iv'!$B$9:$J$9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</c:numCache>
            </c:numRef>
          </c:xVal>
          <c:yVal>
            <c:numRef>
              <c:f>'2k iv'!$B$16:$J$16</c:f>
              <c:numCache>
                <c:formatCode>General</c:formatCode>
                <c:ptCount val="9"/>
                <c:pt idx="0">
                  <c:v>1.6216513561100341</c:v>
                </c:pt>
                <c:pt idx="1">
                  <c:v>1.489515526224874</c:v>
                </c:pt>
                <c:pt idx="2">
                  <c:v>1.2767833847002688</c:v>
                </c:pt>
                <c:pt idx="3">
                  <c:v>1.1125882460230117</c:v>
                </c:pt>
                <c:pt idx="4">
                  <c:v>1.0002170929722303</c:v>
                </c:pt>
                <c:pt idx="5">
                  <c:v>-8.2999999999999963E-2</c:v>
                </c:pt>
                <c:pt idx="6">
                  <c:v>-1.823</c:v>
                </c:pt>
                <c:pt idx="7">
                  <c:v>-3.5629999999999997</c:v>
                </c:pt>
                <c:pt idx="8">
                  <c:v>-5.3029999999999999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E5D-4B93-A9C0-754C18D5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34432"/>
        <c:axId val="229635968"/>
      </c:scatterChart>
      <c:valAx>
        <c:axId val="2296344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29635968"/>
        <c:crosses val="autoZero"/>
        <c:crossBetween val="midCat"/>
      </c:valAx>
      <c:valAx>
        <c:axId val="229635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9634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955485572517874E-2"/>
          <c:y val="0.83719524642753074"/>
          <c:w val="0.94044514427482162"/>
          <c:h val="0.158942840478273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PROFIL</c:v>
          </c:tx>
          <c:xVal>
            <c:numRef>
              <c:f>'2k iv'!$B$24:$N$24</c:f>
              <c:numCache>
                <c:formatCode>General</c:formatCode>
                <c:ptCount val="13"/>
                <c:pt idx="0">
                  <c:v>0.17</c:v>
                </c:pt>
                <c:pt idx="1">
                  <c:v>0.33</c:v>
                </c:pt>
                <c:pt idx="2">
                  <c:v>0.5</c:v>
                </c:pt>
                <c:pt idx="3">
                  <c:v>0.67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7.7</c:v>
                </c:pt>
                <c:pt idx="11">
                  <c:v>18</c:v>
                </c:pt>
                <c:pt idx="12">
                  <c:v>23</c:v>
                </c:pt>
              </c:numCache>
            </c:numRef>
          </c:xVal>
          <c:yVal>
            <c:numRef>
              <c:f>'2k iv'!$B$25:$N$25</c:f>
              <c:numCache>
                <c:formatCode>General</c:formatCode>
                <c:ptCount val="13"/>
                <c:pt idx="0">
                  <c:v>36.200000000000003</c:v>
                </c:pt>
                <c:pt idx="1">
                  <c:v>34</c:v>
                </c:pt>
                <c:pt idx="2">
                  <c:v>27</c:v>
                </c:pt>
                <c:pt idx="3">
                  <c:v>23</c:v>
                </c:pt>
                <c:pt idx="4">
                  <c:v>20.8</c:v>
                </c:pt>
                <c:pt idx="5">
                  <c:v>17.8</c:v>
                </c:pt>
                <c:pt idx="6">
                  <c:v>16.5</c:v>
                </c:pt>
                <c:pt idx="7">
                  <c:v>13.9</c:v>
                </c:pt>
                <c:pt idx="8">
                  <c:v>12</c:v>
                </c:pt>
                <c:pt idx="9">
                  <c:v>8.6999999999999993</c:v>
                </c:pt>
                <c:pt idx="10">
                  <c:v>7.7</c:v>
                </c:pt>
                <c:pt idx="11">
                  <c:v>3.2</c:v>
                </c:pt>
                <c:pt idx="12">
                  <c:v>2.4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D8-4C23-A869-3F67B05205F7}"/>
            </c:ext>
          </c:extLst>
        </c:ser>
        <c:ser>
          <c:idx val="1"/>
          <c:order val="1"/>
          <c:tx>
            <c:v>FS EL</c:v>
          </c:tx>
          <c:trendline>
            <c:trendlineType val="linear"/>
            <c:dispRSqr val="1"/>
            <c:dispEq val="1"/>
            <c:trendlineLbl>
              <c:layout>
                <c:manualLayout>
                  <c:x val="0.50729658792650856"/>
                  <c:y val="-0.13073724820542032"/>
                </c:manualLayout>
              </c:layout>
              <c:numFmt formatCode="General" sourceLinked="0"/>
            </c:trendlineLbl>
          </c:trendline>
          <c:xVal>
            <c:numRef>
              <c:f>'2k iv'!$K$24:$N$24</c:f>
              <c:numCache>
                <c:formatCode>General</c:formatCode>
                <c:ptCount val="4"/>
                <c:pt idx="0">
                  <c:v>6</c:v>
                </c:pt>
                <c:pt idx="1">
                  <c:v>7.7</c:v>
                </c:pt>
                <c:pt idx="2">
                  <c:v>18</c:v>
                </c:pt>
                <c:pt idx="3">
                  <c:v>23</c:v>
                </c:pt>
              </c:numCache>
            </c:numRef>
          </c:xVal>
          <c:yVal>
            <c:numRef>
              <c:f>'2k iv'!$K$25:$N$25</c:f>
              <c:numCache>
                <c:formatCode>General</c:formatCode>
                <c:ptCount val="4"/>
                <c:pt idx="0">
                  <c:v>8.6999999999999993</c:v>
                </c:pt>
                <c:pt idx="1">
                  <c:v>7.7</c:v>
                </c:pt>
                <c:pt idx="2">
                  <c:v>3.2</c:v>
                </c:pt>
                <c:pt idx="3">
                  <c:v>2.4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D8-4C23-A869-3F67B0520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42656"/>
        <c:axId val="140744192"/>
      </c:scatterChart>
      <c:valAx>
        <c:axId val="140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44192"/>
        <c:crosses val="autoZero"/>
        <c:crossBetween val="midCat"/>
      </c:valAx>
      <c:valAx>
        <c:axId val="140744192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40742656"/>
        <c:crosses val="autoZero"/>
        <c:crossBetween val="midCat"/>
        <c:majorUnit val="10"/>
        <c:minorUnit val="10"/>
      </c:valAx>
    </c:plotArea>
    <c:legend>
      <c:legendPos val="r"/>
      <c:layout>
        <c:manualLayout>
          <c:xMode val="edge"/>
          <c:yMode val="edge"/>
          <c:x val="0.54783818188990796"/>
          <c:y val="0.24836899732139281"/>
          <c:w val="0.22589914385835136"/>
          <c:h val="0.283653660091054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PROFIL</c:v>
          </c:tx>
          <c:xVal>
            <c:numRef>
              <c:f>'2k iv'!$B$24:$N$24</c:f>
              <c:numCache>
                <c:formatCode>General</c:formatCode>
                <c:ptCount val="13"/>
                <c:pt idx="0">
                  <c:v>0.17</c:v>
                </c:pt>
                <c:pt idx="1">
                  <c:v>0.33</c:v>
                </c:pt>
                <c:pt idx="2">
                  <c:v>0.5</c:v>
                </c:pt>
                <c:pt idx="3">
                  <c:v>0.67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7.7</c:v>
                </c:pt>
                <c:pt idx="11">
                  <c:v>18</c:v>
                </c:pt>
                <c:pt idx="12">
                  <c:v>23</c:v>
                </c:pt>
              </c:numCache>
            </c:numRef>
          </c:xVal>
          <c:yVal>
            <c:numRef>
              <c:f>'2k iv'!$B$26:$N$26</c:f>
              <c:numCache>
                <c:formatCode>General</c:formatCode>
                <c:ptCount val="13"/>
                <c:pt idx="0">
                  <c:v>1.5587085705331658</c:v>
                </c:pt>
                <c:pt idx="1">
                  <c:v>1.5314789170422551</c:v>
                </c:pt>
                <c:pt idx="2">
                  <c:v>1.4313637641589874</c:v>
                </c:pt>
                <c:pt idx="3">
                  <c:v>1.3617278360175928</c:v>
                </c:pt>
                <c:pt idx="4">
                  <c:v>1.3180633349627615</c:v>
                </c:pt>
                <c:pt idx="5">
                  <c:v>1.2504200023088941</c:v>
                </c:pt>
                <c:pt idx="6">
                  <c:v>1.2174839442139063</c:v>
                </c:pt>
                <c:pt idx="7">
                  <c:v>1.1430148002540952</c:v>
                </c:pt>
                <c:pt idx="8">
                  <c:v>1.0791812460476249</c:v>
                </c:pt>
                <c:pt idx="9">
                  <c:v>0.93951925261861846</c:v>
                </c:pt>
                <c:pt idx="10">
                  <c:v>0.88649072517248184</c:v>
                </c:pt>
                <c:pt idx="11">
                  <c:v>0.50514997831990605</c:v>
                </c:pt>
                <c:pt idx="12">
                  <c:v>0.38021124171160603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23-46A0-9228-079B9F42EB6E}"/>
            </c:ext>
          </c:extLst>
        </c:ser>
        <c:ser>
          <c:idx val="1"/>
          <c:order val="1"/>
          <c:tx>
            <c:v>FA EL</c:v>
          </c:tx>
          <c:trendline>
            <c:trendlineType val="linear"/>
            <c:dispRSqr val="1"/>
            <c:dispEq val="1"/>
            <c:trendlineLbl>
              <c:layout>
                <c:manualLayout>
                  <c:x val="7.2277996500437439E-2"/>
                  <c:y val="-0.26929348117199625"/>
                </c:manualLayout>
              </c:layout>
              <c:numFmt formatCode="General" sourceLinked="0"/>
            </c:trendlineLbl>
          </c:trendline>
          <c:xVal>
            <c:numRef>
              <c:f>'2k iv'!$B$24:$N$24</c:f>
              <c:numCache>
                <c:formatCode>General</c:formatCode>
                <c:ptCount val="13"/>
                <c:pt idx="0">
                  <c:v>0.17</c:v>
                </c:pt>
                <c:pt idx="1">
                  <c:v>0.33</c:v>
                </c:pt>
                <c:pt idx="2">
                  <c:v>0.5</c:v>
                </c:pt>
                <c:pt idx="3">
                  <c:v>0.67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7.7</c:v>
                </c:pt>
                <c:pt idx="11">
                  <c:v>18</c:v>
                </c:pt>
                <c:pt idx="12">
                  <c:v>23</c:v>
                </c:pt>
              </c:numCache>
            </c:numRef>
          </c:xVal>
          <c:yVal>
            <c:numRef>
              <c:f>'2k iv'!$B$27:$N$27</c:f>
              <c:numCache>
                <c:formatCode>General</c:formatCode>
                <c:ptCount val="13"/>
                <c:pt idx="0">
                  <c:v>1.13439</c:v>
                </c:pt>
                <c:pt idx="1">
                  <c:v>1.1291099999999998</c:v>
                </c:pt>
                <c:pt idx="2">
                  <c:v>1.1234999999999999</c:v>
                </c:pt>
                <c:pt idx="3">
                  <c:v>1.1178899999999998</c:v>
                </c:pt>
                <c:pt idx="4">
                  <c:v>1.107</c:v>
                </c:pt>
                <c:pt idx="5">
                  <c:v>1.0904999999999998</c:v>
                </c:pt>
                <c:pt idx="6">
                  <c:v>1.0739999999999998</c:v>
                </c:pt>
                <c:pt idx="7">
                  <c:v>1.0409999999999999</c:v>
                </c:pt>
                <c:pt idx="8">
                  <c:v>1.008</c:v>
                </c:pt>
                <c:pt idx="9">
                  <c:v>0.94</c:v>
                </c:pt>
                <c:pt idx="10">
                  <c:v>0.89</c:v>
                </c:pt>
                <c:pt idx="11">
                  <c:v>0.5</c:v>
                </c:pt>
                <c:pt idx="12">
                  <c:v>0.38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3-46A0-9228-079B9F42EB6E}"/>
            </c:ext>
          </c:extLst>
        </c:ser>
        <c:ser>
          <c:idx val="2"/>
          <c:order val="2"/>
          <c:tx>
            <c:v>fs dis 1</c:v>
          </c:tx>
          <c:trendline>
            <c:trendlineType val="linear"/>
            <c:dispRSqr val="1"/>
            <c:dispEq val="1"/>
            <c:trendlineLbl>
              <c:layout>
                <c:manualLayout>
                  <c:x val="0.43611111111111112"/>
                  <c:y val="-0.12933569018158445"/>
                </c:manualLayout>
              </c:layout>
              <c:numFmt formatCode="General" sourceLinked="0"/>
            </c:trendlineLbl>
          </c:trendline>
          <c:xVal>
            <c:numRef>
              <c:f>'2k iv'!$F$24:$J$24</c:f>
              <c:numCache>
                <c:formatCode>General</c:formatCode>
                <c:ptCount val="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'2k iv'!$F$30:$J$30</c:f>
              <c:numCache>
                <c:formatCode>General</c:formatCode>
                <c:ptCount val="5"/>
                <c:pt idx="0">
                  <c:v>0.90342572742087068</c:v>
                </c:pt>
                <c:pt idx="1">
                  <c:v>0.73902934608335125</c:v>
                </c:pt>
                <c:pt idx="2">
                  <c:v>0.66673437360739241</c:v>
                </c:pt>
                <c:pt idx="3">
                  <c:v>0.46388427400732746</c:v>
                </c:pt>
                <c:pt idx="4">
                  <c:v>0.25865790031943109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23-46A0-9228-079B9F42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979648"/>
        <c:axId val="229981184"/>
      </c:scatterChart>
      <c:valAx>
        <c:axId val="2299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981184"/>
        <c:crosses val="autoZero"/>
        <c:crossBetween val="midCat"/>
      </c:valAx>
      <c:valAx>
        <c:axId val="2299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9979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pers log</c:v>
          </c:tx>
          <c:xVal>
            <c:numRef>
              <c:f>'iv 1k'!$B$3:$B$9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130</c:v>
                </c:pt>
              </c:numCache>
            </c:numRef>
          </c:xVal>
          <c:yVal>
            <c:numRef>
              <c:f>'iv 1k'!$D$3:$D$9</c:f>
              <c:numCache>
                <c:formatCode>General</c:formatCode>
                <c:ptCount val="7"/>
                <c:pt idx="0">
                  <c:v>1.9822712330395684</c:v>
                </c:pt>
                <c:pt idx="1">
                  <c:v>1.9493900066449128</c:v>
                </c:pt>
                <c:pt idx="2">
                  <c:v>1.8633228601204559</c:v>
                </c:pt>
                <c:pt idx="3">
                  <c:v>1.7558748556724915</c:v>
                </c:pt>
                <c:pt idx="4">
                  <c:v>1.5314789170422551</c:v>
                </c:pt>
                <c:pt idx="5">
                  <c:v>1</c:v>
                </c:pt>
                <c:pt idx="6">
                  <c:v>0.3979400086720376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0B-419B-9CFE-8CFC43458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96576"/>
        <c:axId val="135114752"/>
      </c:scatterChart>
      <c:valAx>
        <c:axId val="1350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14752"/>
        <c:crosses val="autoZero"/>
        <c:crossBetween val="midCat"/>
      </c:valAx>
      <c:valAx>
        <c:axId val="13511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96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PROFIL</c:v>
          </c:tx>
          <c:spPr>
            <a:ln w="28575">
              <a:noFill/>
            </a:ln>
          </c:spPr>
          <c:xVal>
            <c:numRef>
              <c:f>'2k iv'!$S$9:$AA$9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</c:numCache>
            </c:numRef>
          </c:xVal>
          <c:yVal>
            <c:numRef>
              <c:f>'2k iv'!$S$10:$AA$10</c:f>
              <c:numCache>
                <c:formatCode>0.00</c:formatCode>
                <c:ptCount val="9"/>
                <c:pt idx="0">
                  <c:v>43</c:v>
                </c:pt>
                <c:pt idx="1">
                  <c:v>32</c:v>
                </c:pt>
                <c:pt idx="2">
                  <c:v>20</c:v>
                </c:pt>
                <c:pt idx="3">
                  <c:v>14</c:v>
                </c:pt>
                <c:pt idx="4">
                  <c:v>11</c:v>
                </c:pt>
                <c:pt idx="5">
                  <c:v>6.5</c:v>
                </c:pt>
                <c:pt idx="6">
                  <c:v>2.8</c:v>
                </c:pt>
                <c:pt idx="7">
                  <c:v>1.2</c:v>
                </c:pt>
                <c:pt idx="8">
                  <c:v>0.52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5A-44DB-9DAE-D549FF0D1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13952"/>
        <c:axId val="230015744"/>
      </c:scatterChart>
      <c:valAx>
        <c:axId val="2300139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30015744"/>
        <c:crosses val="autoZero"/>
        <c:crossBetween val="midCat"/>
      </c:valAx>
      <c:valAx>
        <c:axId val="230015744"/>
        <c:scaling>
          <c:logBase val="10"/>
          <c:orientation val="minMax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230013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96722663561458"/>
          <c:y val="5.8977528207380447E-2"/>
          <c:w val="0.71233267529905253"/>
          <c:h val="0.88204494358523911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xVal>
            <c:numRef>
              <c:f>'2k iv'!$S$9:$AA$9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</c:numCache>
            </c:numRef>
          </c:xVal>
          <c:yVal>
            <c:numRef>
              <c:f>'2k iv'!$S$11:$AA$11</c:f>
              <c:numCache>
                <c:formatCode>0.000</c:formatCode>
                <c:ptCount val="9"/>
                <c:pt idx="0" formatCode="General">
                  <c:v>1.6334684555795864</c:v>
                </c:pt>
                <c:pt idx="1">
                  <c:v>1.505149978319906</c:v>
                </c:pt>
                <c:pt idx="2">
                  <c:v>1.3010299956639813</c:v>
                </c:pt>
                <c:pt idx="3">
                  <c:v>1.146128035678238</c:v>
                </c:pt>
                <c:pt idx="4">
                  <c:v>1.0413926851582251</c:v>
                </c:pt>
                <c:pt idx="5">
                  <c:v>0.81291335664285558</c:v>
                </c:pt>
                <c:pt idx="6">
                  <c:v>0.44715803134221921</c:v>
                </c:pt>
                <c:pt idx="7">
                  <c:v>7.9181246047624818E-2</c:v>
                </c:pt>
                <c:pt idx="8">
                  <c:v>-0.28399665636520083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3A-4E8F-8AE1-31DD5C558F8F}"/>
            </c:ext>
          </c:extLst>
        </c:ser>
        <c:ser>
          <c:idx val="1"/>
          <c:order val="1"/>
          <c:tx>
            <c:v>FS ELIMINASI</c:v>
          </c:tx>
          <c:trendline>
            <c:trendlineType val="linear"/>
            <c:dispRSqr val="1"/>
            <c:dispEq val="1"/>
            <c:trendlineLbl>
              <c:layout>
                <c:manualLayout>
                  <c:x val="0.11535734518648118"/>
                  <c:y val="-0.4321326571466703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n>
                        <a:solidFill>
                          <a:srgbClr val="C00000"/>
                        </a:solidFill>
                      </a:ln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'2k iv'!$S$9:$AA$9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</c:numCache>
            </c:numRef>
          </c:xVal>
          <c:yVal>
            <c:numRef>
              <c:f>'2k iv'!$S$12:$AA$12</c:f>
              <c:numCache>
                <c:formatCode>General</c:formatCode>
                <c:ptCount val="9"/>
                <c:pt idx="0">
                  <c:v>1.15425</c:v>
                </c:pt>
                <c:pt idx="1">
                  <c:v>1.1315</c:v>
                </c:pt>
                <c:pt idx="2">
                  <c:v>1.0860000000000001</c:v>
                </c:pt>
                <c:pt idx="3">
                  <c:v>1.0405</c:v>
                </c:pt>
                <c:pt idx="4">
                  <c:v>0.99500000000000011</c:v>
                </c:pt>
                <c:pt idx="5">
                  <c:v>0.81299999999999994</c:v>
                </c:pt>
                <c:pt idx="6">
                  <c:v>0.44700000000000001</c:v>
                </c:pt>
                <c:pt idx="7">
                  <c:v>7.9000000000000001E-2</c:v>
                </c:pt>
                <c:pt idx="8">
                  <c:v>-0.28399999999999997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3A-4E8F-8AE1-31DD5C558F8F}"/>
            </c:ext>
          </c:extLst>
        </c:ser>
        <c:ser>
          <c:idx val="2"/>
          <c:order val="2"/>
          <c:tx>
            <c:v>FS DIS</c:v>
          </c:tx>
          <c:trendline>
            <c:trendlineType val="linear"/>
            <c:dispRSqr val="1"/>
            <c:dispEq val="1"/>
            <c:trendlineLbl>
              <c:layout>
                <c:manualLayout>
                  <c:x val="0.27700839080954537"/>
                  <c:y val="-0.58893496878627183"/>
                </c:manualLayout>
              </c:layout>
              <c:numFmt formatCode="General" sourceLinked="0"/>
              <c:spPr>
                <a:ln>
                  <a:solidFill>
                    <a:schemeClr val="accent3">
                      <a:lumMod val="7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'2k iv'!$S$9:$W$9</c:f>
              <c:numCache>
                <c:formatCode>0.00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'2k iv'!$S$15:$W$15</c:f>
              <c:numCache>
                <c:formatCode>0.000</c:formatCode>
                <c:ptCount val="5"/>
                <c:pt idx="0">
                  <c:v>1.4584220113840372</c:v>
                </c:pt>
                <c:pt idx="1">
                  <c:v>1.2663187137465122</c:v>
                </c:pt>
                <c:pt idx="2">
                  <c:v>0.89265681761540216</c:v>
                </c:pt>
                <c:pt idx="3">
                  <c:v>0.48037882411201871</c:v>
                </c:pt>
                <c:pt idx="4">
                  <c:v>4.7068013497352547E-2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3A-4E8F-8AE1-31DD5C558F8F}"/>
            </c:ext>
          </c:extLst>
        </c:ser>
        <c:ser>
          <c:idx val="3"/>
          <c:order val="3"/>
          <c:tx>
            <c:v>FD3</c:v>
          </c:tx>
          <c:trendline>
            <c:trendlineType val="linear"/>
            <c:dispRSqr val="1"/>
            <c:dispEq val="1"/>
            <c:trendlineLbl>
              <c:layout>
                <c:manualLayout>
                  <c:x val="0.10897437730910177"/>
                  <c:y val="-0.3011799057032766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'2k iv'!$S$9:$U$9</c:f>
              <c:numCache>
                <c:formatCode>0.00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</c:numCache>
            </c:numRef>
          </c:xVal>
          <c:yVal>
            <c:numRef>
              <c:f>'2k iv'!$S$15:$U$15</c:f>
              <c:numCache>
                <c:formatCode>0.000</c:formatCode>
                <c:ptCount val="3"/>
                <c:pt idx="0">
                  <c:v>1.4584220113840372</c:v>
                </c:pt>
                <c:pt idx="1">
                  <c:v>1.2663187137465122</c:v>
                </c:pt>
                <c:pt idx="2">
                  <c:v>0.89265681761540216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13A-4E8F-8AE1-31DD5C558F8F}"/>
            </c:ext>
          </c:extLst>
        </c:ser>
        <c:ser>
          <c:idx val="4"/>
          <c:order val="4"/>
          <c:tx>
            <c:v>FD 4</c:v>
          </c:tx>
          <c:trendline>
            <c:trendlineType val="linear"/>
            <c:dispRSqr val="1"/>
            <c:dispEq val="1"/>
            <c:trendlineLbl>
              <c:layout>
                <c:manualLayout>
                  <c:x val="0.4785454065794143"/>
                  <c:y val="-0.59801641816049589"/>
                </c:manualLayout>
              </c:layout>
              <c:numFmt formatCode="General" sourceLinked="0"/>
              <c:spPr>
                <a:solidFill>
                  <a:srgbClr val="00B0F0"/>
                </a:solidFill>
              </c:spPr>
            </c:trendlineLbl>
          </c:trendline>
          <c:xVal>
            <c:numRef>
              <c:f>'2k iv'!$U$9:$W$9</c:f>
              <c:numCache>
                <c:formatCode>0.00</c:formatCode>
                <c:ptCount val="3"/>
                <c:pt idx="0">
                  <c:v>1</c:v>
                </c:pt>
                <c:pt idx="1">
                  <c:v>1.5</c:v>
                </c:pt>
                <c:pt idx="2">
                  <c:v>2</c:v>
                </c:pt>
              </c:numCache>
            </c:numRef>
          </c:xVal>
          <c:yVal>
            <c:numRef>
              <c:f>'2k iv'!$U$15:$W$15</c:f>
              <c:numCache>
                <c:formatCode>0.000</c:formatCode>
                <c:ptCount val="3"/>
                <c:pt idx="0">
                  <c:v>0.89265681761540216</c:v>
                </c:pt>
                <c:pt idx="1">
                  <c:v>0.48037882411201871</c:v>
                </c:pt>
                <c:pt idx="2">
                  <c:v>4.7068013497352547E-2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13A-4E8F-8AE1-31DD5C558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742080"/>
        <c:axId val="229743616"/>
      </c:scatterChart>
      <c:valAx>
        <c:axId val="2297420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29743616"/>
        <c:crosses val="autoZero"/>
        <c:crossBetween val="midCat"/>
      </c:valAx>
      <c:valAx>
        <c:axId val="2297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9742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2 komp</c:v>
          </c:tx>
          <c:marker>
            <c:symbol val="none"/>
          </c:marker>
          <c:xVal>
            <c:numRef>
              <c:f>'2k iv'!$B$55:$N$55</c:f>
              <c:numCache>
                <c:formatCode>General</c:formatCod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'2k iv'!$B$56:$N$56</c:f>
              <c:numCache>
                <c:formatCode>General</c:formatCode>
                <c:ptCount val="13"/>
                <c:pt idx="0">
                  <c:v>70</c:v>
                </c:pt>
                <c:pt idx="1">
                  <c:v>53.8</c:v>
                </c:pt>
                <c:pt idx="2">
                  <c:v>43.3</c:v>
                </c:pt>
                <c:pt idx="3">
                  <c:v>35</c:v>
                </c:pt>
                <c:pt idx="4">
                  <c:v>29.1</c:v>
                </c:pt>
                <c:pt idx="5">
                  <c:v>21.2</c:v>
                </c:pt>
                <c:pt idx="6">
                  <c:v>17</c:v>
                </c:pt>
                <c:pt idx="7">
                  <c:v>14.3</c:v>
                </c:pt>
                <c:pt idx="8">
                  <c:v>12.6</c:v>
                </c:pt>
                <c:pt idx="9">
                  <c:v>10.5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</c:numCache>
            </c:numRef>
          </c:yVal>
          <c:smooth val="1"/>
        </c:ser>
        <c:ser>
          <c:idx val="1"/>
          <c:order val="1"/>
          <c:tx>
            <c:v>eliminasi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35918307086614171"/>
                  <c:y val="1.9760863225430154E-2"/>
                </c:manualLayout>
              </c:layout>
              <c:numFmt formatCode="General" sourceLinked="0"/>
            </c:trendlineLbl>
          </c:trendline>
          <c:xVal>
            <c:numRef>
              <c:f>'2k iv'!$K$55:$N$55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'2k iv'!$K$57:$N$57</c:f>
              <c:numCache>
                <c:formatCode>General</c:formatCode>
                <c:ptCount val="4"/>
                <c:pt idx="0">
                  <c:v>10.5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E2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1.1960848643919509E-2"/>
                  <c:y val="-0.16771398366870807"/>
                </c:manualLayout>
              </c:layout>
              <c:numFmt formatCode="General" sourceLinked="0"/>
              <c:spPr>
                <a:solidFill>
                  <a:srgbClr val="FFC000"/>
                </a:solidFill>
              </c:spPr>
            </c:trendlineLbl>
          </c:trendline>
          <c:xVal>
            <c:numRef>
              <c:f>'2k iv'!$J$55:$N$55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'2k iv'!$J$56:$N$56</c:f>
              <c:numCache>
                <c:formatCode>General</c:formatCode>
                <c:ptCount val="5"/>
                <c:pt idx="0">
                  <c:v>12.6</c:v>
                </c:pt>
                <c:pt idx="1">
                  <c:v>10.5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</c:numCache>
            </c:numRef>
          </c:yVal>
          <c:smooth val="1"/>
        </c:ser>
        <c:ser>
          <c:idx val="3"/>
          <c:order val="3"/>
          <c:tx>
            <c:v>EA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8.2094706911636048E-2"/>
                  <c:y val="-0.4151924759405074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'2k iv'!$B$55:$N$55</c:f>
              <c:numCache>
                <c:formatCode>General</c:formatCod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'2k iv'!$B$57:$N$57</c:f>
              <c:numCache>
                <c:formatCode>General</c:formatCode>
                <c:ptCount val="13"/>
                <c:pt idx="0">
                  <c:v>14.95</c:v>
                </c:pt>
                <c:pt idx="1">
                  <c:v>14.674999999999999</c:v>
                </c:pt>
                <c:pt idx="2">
                  <c:v>14.399999999999999</c:v>
                </c:pt>
                <c:pt idx="3">
                  <c:v>14.125</c:v>
                </c:pt>
                <c:pt idx="4">
                  <c:v>13.85</c:v>
                </c:pt>
                <c:pt idx="5">
                  <c:v>13.299999999999999</c:v>
                </c:pt>
                <c:pt idx="6">
                  <c:v>12.75</c:v>
                </c:pt>
                <c:pt idx="7">
                  <c:v>12.2</c:v>
                </c:pt>
                <c:pt idx="8">
                  <c:v>11.649999999999999</c:v>
                </c:pt>
                <c:pt idx="9">
                  <c:v>10.5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793152"/>
        <c:axId val="229807232"/>
      </c:scatterChart>
      <c:valAx>
        <c:axId val="2297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807232"/>
        <c:crosses val="autoZero"/>
        <c:crossBetween val="midCat"/>
      </c:valAx>
      <c:valAx>
        <c:axId val="2298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9793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xVal>
            <c:numRef>
              <c:f>'2K SEMILOG'!$B$6:$J$6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</c:numCache>
            </c:numRef>
          </c:xVal>
          <c:yVal>
            <c:numRef>
              <c:f>'2K SEMILOG'!$B$7:$J$7</c:f>
              <c:numCache>
                <c:formatCode>0.00</c:formatCode>
                <c:ptCount val="9"/>
                <c:pt idx="0">
                  <c:v>43</c:v>
                </c:pt>
                <c:pt idx="1">
                  <c:v>32</c:v>
                </c:pt>
                <c:pt idx="2">
                  <c:v>20</c:v>
                </c:pt>
                <c:pt idx="3">
                  <c:v>14</c:v>
                </c:pt>
                <c:pt idx="4">
                  <c:v>11</c:v>
                </c:pt>
                <c:pt idx="5">
                  <c:v>6.5</c:v>
                </c:pt>
                <c:pt idx="6">
                  <c:v>2.8</c:v>
                </c:pt>
                <c:pt idx="7">
                  <c:v>1.2</c:v>
                </c:pt>
                <c:pt idx="8">
                  <c:v>0.52</c:v>
                </c:pt>
              </c:numCache>
            </c:numRef>
          </c:yVal>
          <c:smooth val="1"/>
        </c:ser>
        <c:ser>
          <c:idx val="1"/>
          <c:order val="1"/>
          <c:tx>
            <c:v>fs eliminasi</c:v>
          </c:tx>
          <c:xVal>
            <c:numRef>
              <c:f>'2K SEMILOG'!$G$6:$J$6</c:f>
              <c:numCache>
                <c:formatCode>0.00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'2K SEMILOG'!$G$7:$J$7</c:f>
              <c:numCache>
                <c:formatCode>0.00</c:formatCode>
                <c:ptCount val="4"/>
                <c:pt idx="0">
                  <c:v>6.5</c:v>
                </c:pt>
                <c:pt idx="1">
                  <c:v>2.8</c:v>
                </c:pt>
                <c:pt idx="2">
                  <c:v>1.2</c:v>
                </c:pt>
                <c:pt idx="3">
                  <c:v>0.52</c:v>
                </c:pt>
              </c:numCache>
            </c:numRef>
          </c:yVal>
          <c:smooth val="1"/>
        </c:ser>
        <c:ser>
          <c:idx val="2"/>
          <c:order val="2"/>
          <c:tx>
            <c:v>fs elominasi</c:v>
          </c:tx>
          <c:xVal>
            <c:numRef>
              <c:f>'2K SEMILOG'!$F$6:$J$6</c:f>
              <c:numCache>
                <c:formatCode>0.00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</c:numCache>
            </c:numRef>
          </c:xVal>
          <c:yVal>
            <c:numRef>
              <c:f>'2K SEMILOG'!$F$7:$J$7</c:f>
              <c:numCache>
                <c:formatCode>0.00</c:formatCode>
                <c:ptCount val="5"/>
                <c:pt idx="0">
                  <c:v>11</c:v>
                </c:pt>
                <c:pt idx="1">
                  <c:v>6.5</c:v>
                </c:pt>
                <c:pt idx="2">
                  <c:v>2.8</c:v>
                </c:pt>
                <c:pt idx="3">
                  <c:v>1.2</c:v>
                </c:pt>
                <c:pt idx="4">
                  <c:v>0.52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77888"/>
        <c:axId val="135484160"/>
      </c:scatterChart>
      <c:valAx>
        <c:axId val="13547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WAKTU  t</a:t>
                </a:r>
                <a:r>
                  <a:rPr lang="en-US" baseline="0"/>
                  <a:t> (jam)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5484160"/>
        <c:crosses val="autoZero"/>
        <c:crossBetween val="midCat"/>
      </c:valAx>
      <c:valAx>
        <c:axId val="135484160"/>
        <c:scaling>
          <c:logBase val="10"/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5477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xVal>
            <c:numRef>
              <c:f>'2K SEMILOG'!$A$14:$A$23</c:f>
              <c:numCache>
                <c:formatCode>General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'2K SEMILOG'!$B$14:$B$23</c:f>
              <c:numCache>
                <c:formatCode>General</c:formatCode>
                <c:ptCount val="10"/>
                <c:pt idx="0">
                  <c:v>3</c:v>
                </c:pt>
                <c:pt idx="1">
                  <c:v>4.5999999999999996</c:v>
                </c:pt>
                <c:pt idx="2">
                  <c:v>5.7</c:v>
                </c:pt>
                <c:pt idx="3">
                  <c:v>5.6</c:v>
                </c:pt>
                <c:pt idx="4">
                  <c:v>4.8</c:v>
                </c:pt>
                <c:pt idx="5">
                  <c:v>3.2</c:v>
                </c:pt>
                <c:pt idx="6">
                  <c:v>2</c:v>
                </c:pt>
                <c:pt idx="7">
                  <c:v>1.2</c:v>
                </c:pt>
                <c:pt idx="8">
                  <c:v>0.75</c:v>
                </c:pt>
                <c:pt idx="9">
                  <c:v>0.46</c:v>
                </c:pt>
              </c:numCache>
            </c:numRef>
          </c:yVal>
          <c:smooth val="1"/>
        </c:ser>
        <c:ser>
          <c:idx val="1"/>
          <c:order val="1"/>
          <c:tx>
            <c:v>elimns</c:v>
          </c:tx>
          <c:trendline>
            <c:trendlineType val="linear"/>
            <c:dispRSqr val="1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'2K SEMILOG'!$A$19:$A$23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'2K SEMILOG'!$D$19:$D$23</c:f>
              <c:numCache>
                <c:formatCode>General</c:formatCode>
                <c:ptCount val="5"/>
                <c:pt idx="0">
                  <c:v>3.2</c:v>
                </c:pt>
                <c:pt idx="1">
                  <c:v>2</c:v>
                </c:pt>
                <c:pt idx="2">
                  <c:v>1.2</c:v>
                </c:pt>
                <c:pt idx="3">
                  <c:v>0.75</c:v>
                </c:pt>
                <c:pt idx="4">
                  <c:v>0.46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14624"/>
        <c:axId val="135532544"/>
      </c:scatterChart>
      <c:valAx>
        <c:axId val="1635146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135532544"/>
        <c:crosses val="max"/>
        <c:crossBetween val="midCat"/>
      </c:valAx>
      <c:valAx>
        <c:axId val="135532544"/>
        <c:scaling>
          <c:logBase val="10"/>
          <c:orientation val="minMax"/>
          <c:max val="10"/>
          <c:min val="0.1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63514624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cp-t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porfil obat cp</c:v>
          </c:tx>
          <c:trendline>
            <c:trendlineType val="linear"/>
            <c:dispRSqr val="1"/>
            <c:dispEq val="1"/>
            <c:trendlineLbl>
              <c:layout>
                <c:manualLayout>
                  <c:x val="0.60456942003514935"/>
                  <c:y val="-0.22746020383815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'2K SEMILOG'!$A$14:$A$15</c:f>
              <c:numCache>
                <c:formatCode>General</c:formatCode>
                <c:ptCount val="2"/>
                <c:pt idx="0">
                  <c:v>0.25</c:v>
                </c:pt>
                <c:pt idx="1">
                  <c:v>0.5</c:v>
                </c:pt>
              </c:numCache>
            </c:numRef>
          </c:xVal>
          <c:yVal>
            <c:numRef>
              <c:f>'2K SEMILOG'!$H$14:$H$15</c:f>
              <c:numCache>
                <c:formatCode>General</c:formatCode>
                <c:ptCount val="2"/>
                <c:pt idx="0">
                  <c:v>0.61012874528033745</c:v>
                </c:pt>
                <c:pt idx="1">
                  <c:v>0.37174216831842588</c:v>
                </c:pt>
              </c:numCache>
            </c:numRef>
          </c:yVal>
          <c:smooth val="1"/>
        </c:ser>
        <c:ser>
          <c:idx val="1"/>
          <c:order val="1"/>
          <c:tx>
            <c:v>profil log obat</c:v>
          </c:tx>
          <c:xVal>
            <c:numRef>
              <c:f>'2K SEMILOG'!$A$14:$A$23</c:f>
              <c:numCache>
                <c:formatCode>General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'2K SEMILOG'!$C$14:$C$23</c:f>
              <c:numCache>
                <c:formatCode>General</c:formatCode>
                <c:ptCount val="10"/>
                <c:pt idx="0">
                  <c:v>0.47712125471966244</c:v>
                </c:pt>
                <c:pt idx="1">
                  <c:v>0.66275783168157409</c:v>
                </c:pt>
                <c:pt idx="2">
                  <c:v>0.75587485567249146</c:v>
                </c:pt>
                <c:pt idx="3">
                  <c:v>0.74818802700620035</c:v>
                </c:pt>
                <c:pt idx="4">
                  <c:v>0.68124123737558717</c:v>
                </c:pt>
                <c:pt idx="5">
                  <c:v>0.50514997831990605</c:v>
                </c:pt>
                <c:pt idx="6">
                  <c:v>0.3010299956639812</c:v>
                </c:pt>
                <c:pt idx="7">
                  <c:v>7.9181246047624818E-2</c:v>
                </c:pt>
                <c:pt idx="8">
                  <c:v>-0.12493873660829995</c:v>
                </c:pt>
                <c:pt idx="9">
                  <c:v>-0.33724216831842591</c:v>
                </c:pt>
              </c:numCache>
            </c:numRef>
          </c:yVal>
          <c:smooth val="1"/>
        </c:ser>
        <c:ser>
          <c:idx val="2"/>
          <c:order val="2"/>
          <c:tx>
            <c:v>profil eliminasi</c:v>
          </c:tx>
          <c:trendline>
            <c:trendlineType val="linear"/>
            <c:dispRSqr val="1"/>
            <c:dispEq val="1"/>
            <c:trendlineLbl>
              <c:layout>
                <c:manualLayout>
                  <c:x val="0.34793022747156604"/>
                  <c:y val="-2.366738248628012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 b="1">
                      <a:solidFill>
                        <a:srgbClr val="92D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'2K SEMILOG'!$A$19:$A$23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'2K SEMILOG'!$C$19:$C$23</c:f>
              <c:numCache>
                <c:formatCode>General</c:formatCode>
                <c:ptCount val="5"/>
                <c:pt idx="0">
                  <c:v>0.50514997831990605</c:v>
                </c:pt>
                <c:pt idx="1">
                  <c:v>0.3010299956639812</c:v>
                </c:pt>
                <c:pt idx="2">
                  <c:v>7.9181246047624818E-2</c:v>
                </c:pt>
                <c:pt idx="3">
                  <c:v>-0.12493873660829995</c:v>
                </c:pt>
                <c:pt idx="4">
                  <c:v>-0.33724216831842591</c:v>
                </c:pt>
              </c:numCache>
            </c:numRef>
          </c:yVal>
          <c:smooth val="1"/>
        </c:ser>
        <c:ser>
          <c:idx val="3"/>
          <c:order val="3"/>
          <c:tx>
            <c:v>PERPANJNGN ELIMNS</c:v>
          </c:tx>
          <c:xVal>
            <c:numRef>
              <c:f>'2K SEMILOG'!$A$14:$A$23</c:f>
              <c:numCache>
                <c:formatCode>General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'2K SEMILOG'!$F$14:$F$23</c:f>
              <c:numCache>
                <c:formatCode>General</c:formatCode>
                <c:ptCount val="10"/>
                <c:pt idx="0">
                  <c:v>1.0872499999999998</c:v>
                </c:pt>
                <c:pt idx="1">
                  <c:v>1.0345</c:v>
                </c:pt>
                <c:pt idx="2">
                  <c:v>0.92899999999999994</c:v>
                </c:pt>
                <c:pt idx="3">
                  <c:v>0.8234999999999999</c:v>
                </c:pt>
                <c:pt idx="4">
                  <c:v>0.71799999999999997</c:v>
                </c:pt>
                <c:pt idx="5">
                  <c:v>0.5069999999999999</c:v>
                </c:pt>
                <c:pt idx="6">
                  <c:v>0.29599999999999993</c:v>
                </c:pt>
                <c:pt idx="7">
                  <c:v>8.4999999999999964E-2</c:v>
                </c:pt>
                <c:pt idx="8">
                  <c:v>-0.12600000000000011</c:v>
                </c:pt>
                <c:pt idx="9">
                  <c:v>-0.33699999999999997</c:v>
                </c:pt>
              </c:numCache>
            </c:numRef>
          </c:yVal>
          <c:smooth val="1"/>
        </c:ser>
        <c:ser>
          <c:idx val="4"/>
          <c:order val="4"/>
          <c:tx>
            <c:v>fs absrp</c:v>
          </c:tx>
          <c:xVal>
            <c:numRef>
              <c:f>'2K SEMILOG'!$A$14:$A$15</c:f>
              <c:numCache>
                <c:formatCode>General</c:formatCode>
                <c:ptCount val="2"/>
                <c:pt idx="0">
                  <c:v>0.25</c:v>
                </c:pt>
                <c:pt idx="1">
                  <c:v>0.5</c:v>
                </c:pt>
              </c:numCache>
            </c:numRef>
          </c:xVal>
          <c:yVal>
            <c:numRef>
              <c:f>'2K SEMILOG'!$I$14:$I$15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5"/>
          <c:order val="5"/>
          <c:tx>
            <c:v>perpnjn absrp</c:v>
          </c:tx>
          <c:xVal>
            <c:numRef>
              <c:f>'2K SEMILOG'!$A$15:$A$23</c:f>
              <c:numCache>
                <c:formatCode>General</c:formatCode>
                <c:ptCount val="9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'2K SEMILOG'!$H$15:$H$23</c:f>
              <c:numCache>
                <c:formatCode>General</c:formatCode>
                <c:ptCount val="9"/>
                <c:pt idx="0">
                  <c:v>0.37174216831842588</c:v>
                </c:pt>
                <c:pt idx="1">
                  <c:v>-0.10499999999999998</c:v>
                </c:pt>
                <c:pt idx="2">
                  <c:v>-0.58174999999999999</c:v>
                </c:pt>
                <c:pt idx="3">
                  <c:v>-1.0585</c:v>
                </c:pt>
                <c:pt idx="4">
                  <c:v>-2.012</c:v>
                </c:pt>
                <c:pt idx="5">
                  <c:v>-2.9655</c:v>
                </c:pt>
                <c:pt idx="6">
                  <c:v>-3.919</c:v>
                </c:pt>
                <c:pt idx="7">
                  <c:v>-4.8725000000000005</c:v>
                </c:pt>
                <c:pt idx="8">
                  <c:v>-5.8260000000000005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74272"/>
        <c:axId val="135575808"/>
      </c:scatterChart>
      <c:valAx>
        <c:axId val="1355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75808"/>
        <c:crosses val="autoZero"/>
        <c:crossBetween val="midCat"/>
      </c:valAx>
      <c:valAx>
        <c:axId val="13557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74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7598194962472"/>
          <c:y val="5.1400554097404488E-2"/>
          <c:w val="0.72567923746373819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v>profil 25 mg</c:v>
          </c:tx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ABSR'!$F$6:$F$16</c:f>
              <c:numCache>
                <c:formatCode>General</c:formatCode>
                <c:ptCount val="11"/>
                <c:pt idx="0">
                  <c:v>0.12</c:v>
                </c:pt>
                <c:pt idx="1">
                  <c:v>2.2000000000000002</c:v>
                </c:pt>
                <c:pt idx="2">
                  <c:v>5.38</c:v>
                </c:pt>
                <c:pt idx="3">
                  <c:v>6.8</c:v>
                </c:pt>
                <c:pt idx="4">
                  <c:v>6.91</c:v>
                </c:pt>
                <c:pt idx="5">
                  <c:v>6.32</c:v>
                </c:pt>
                <c:pt idx="6">
                  <c:v>4.25</c:v>
                </c:pt>
                <c:pt idx="7">
                  <c:v>3.6</c:v>
                </c:pt>
                <c:pt idx="8">
                  <c:v>2.72</c:v>
                </c:pt>
                <c:pt idx="9">
                  <c:v>2.2999999999999998</c:v>
                </c:pt>
                <c:pt idx="10">
                  <c:v>0.67</c:v>
                </c:pt>
              </c:numCache>
            </c:numRef>
          </c:yVal>
          <c:smooth val="1"/>
        </c:ser>
        <c:ser>
          <c:idx val="1"/>
          <c:order val="1"/>
          <c:tx>
            <c:v>profil 50 mg</c:v>
          </c:tx>
          <c:marker>
            <c:symbol val="square"/>
            <c:size val="7"/>
          </c:marker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ABSR'!$F$21:$F$31</c:f>
              <c:numCache>
                <c:formatCode>General</c:formatCode>
                <c:ptCount val="11"/>
                <c:pt idx="0">
                  <c:v>0.26</c:v>
                </c:pt>
                <c:pt idx="1">
                  <c:v>3.62</c:v>
                </c:pt>
                <c:pt idx="2">
                  <c:v>6.65</c:v>
                </c:pt>
                <c:pt idx="3">
                  <c:v>10.74</c:v>
                </c:pt>
                <c:pt idx="4">
                  <c:v>12.54</c:v>
                </c:pt>
                <c:pt idx="5">
                  <c:v>11.2</c:v>
                </c:pt>
                <c:pt idx="6">
                  <c:v>8.5399999999999991</c:v>
                </c:pt>
                <c:pt idx="7">
                  <c:v>6.48</c:v>
                </c:pt>
                <c:pt idx="8">
                  <c:v>4.8499999999999996</c:v>
                </c:pt>
                <c:pt idx="9">
                  <c:v>4.05</c:v>
                </c:pt>
                <c:pt idx="10">
                  <c:v>1.7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358400"/>
        <c:axId val="230098048"/>
      </c:scatterChart>
      <c:valAx>
        <c:axId val="2303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098048"/>
        <c:crosses val="autoZero"/>
        <c:crossBetween val="midCat"/>
      </c:valAx>
      <c:valAx>
        <c:axId val="230098048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30358400"/>
        <c:crosses val="autoZero"/>
        <c:crossBetween val="midCat"/>
        <c:majorUnit val="1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 25 logg Cp</c:v>
          </c:tx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ABSR'!$G$6:$G$16</c:f>
              <c:numCache>
                <c:formatCode>General</c:formatCode>
                <c:ptCount val="11"/>
                <c:pt idx="0">
                  <c:v>-0.92081875395237522</c:v>
                </c:pt>
                <c:pt idx="1">
                  <c:v>0.34242268082220628</c:v>
                </c:pt>
                <c:pt idx="2">
                  <c:v>0.7307822756663892</c:v>
                </c:pt>
                <c:pt idx="3">
                  <c:v>0.83250891270623628</c:v>
                </c:pt>
                <c:pt idx="4">
                  <c:v>0.8394780473741984</c:v>
                </c:pt>
                <c:pt idx="5">
                  <c:v>0.80071707828238503</c:v>
                </c:pt>
                <c:pt idx="6">
                  <c:v>0.62838893005031149</c:v>
                </c:pt>
                <c:pt idx="7">
                  <c:v>0.55630250076728727</c:v>
                </c:pt>
                <c:pt idx="8">
                  <c:v>0.43456890403419873</c:v>
                </c:pt>
                <c:pt idx="9">
                  <c:v>0.36172783601759284</c:v>
                </c:pt>
                <c:pt idx="10">
                  <c:v>-0.17392519729917355</c:v>
                </c:pt>
              </c:numCache>
            </c:numRef>
          </c:yVal>
          <c:smooth val="1"/>
        </c:ser>
        <c:ser>
          <c:idx val="1"/>
          <c:order val="1"/>
          <c:tx>
            <c:v>Profil 50 log Cp</c:v>
          </c:tx>
          <c:xVal>
            <c:numRef>
              <c:f>'PR ABSR'!$E$21:$E$31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ABSR'!$G$21:$G$31</c:f>
              <c:numCache>
                <c:formatCode>General</c:formatCode>
                <c:ptCount val="11"/>
                <c:pt idx="0">
                  <c:v>-0.58502665202918203</c:v>
                </c:pt>
                <c:pt idx="1">
                  <c:v>0.55870857053316569</c:v>
                </c:pt>
                <c:pt idx="2">
                  <c:v>0.82282164530310464</c:v>
                </c:pt>
                <c:pt idx="3">
                  <c:v>1.0310042813635367</c:v>
                </c:pt>
                <c:pt idx="4">
                  <c:v>1.0982975364946976</c:v>
                </c:pt>
                <c:pt idx="5">
                  <c:v>1.0492180226701815</c:v>
                </c:pt>
                <c:pt idx="6">
                  <c:v>0.93145787068900499</c:v>
                </c:pt>
                <c:pt idx="7">
                  <c:v>0.81157500587059339</c:v>
                </c:pt>
                <c:pt idx="8">
                  <c:v>0.68574173860226362</c:v>
                </c:pt>
                <c:pt idx="9">
                  <c:v>0.60745502321466849</c:v>
                </c:pt>
                <c:pt idx="10">
                  <c:v>0.23044892137827391</c:v>
                </c:pt>
              </c:numCache>
            </c:numRef>
          </c:yVal>
          <c:smooth val="1"/>
        </c:ser>
        <c:ser>
          <c:idx val="2"/>
          <c:order val="2"/>
          <c:tx>
            <c:v>eliminasi</c:v>
          </c:tx>
          <c:trendline>
            <c:trendlineType val="linear"/>
            <c:dispRSqr val="1"/>
            <c:dispEq val="1"/>
            <c:trendlineLbl>
              <c:layout>
                <c:manualLayout>
                  <c:x val="0.35368372703412071"/>
                  <c:y val="0.2571471274424030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92D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'PR ABSR'!$E$14:$E$16</c:f>
              <c:numCache>
                <c:formatCode>General</c:formatCode>
                <c:ptCount val="3"/>
                <c:pt idx="0">
                  <c:v>10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'PR ABSR'!$G$14:$G$16</c:f>
              <c:numCache>
                <c:formatCode>General</c:formatCode>
                <c:ptCount val="3"/>
                <c:pt idx="0">
                  <c:v>0.43456890403419873</c:v>
                </c:pt>
                <c:pt idx="1">
                  <c:v>0.36172783601759284</c:v>
                </c:pt>
                <c:pt idx="2">
                  <c:v>-0.17392519729917355</c:v>
                </c:pt>
              </c:numCache>
            </c:numRef>
          </c:yVal>
          <c:smooth val="1"/>
        </c:ser>
        <c:ser>
          <c:idx val="3"/>
          <c:order val="3"/>
          <c:tx>
            <c:v>elim 50</c:v>
          </c:tx>
          <c:trendline>
            <c:trendlineType val="linear"/>
            <c:dispRSqr val="1"/>
            <c:dispEq val="1"/>
            <c:trendlineLbl>
              <c:layout>
                <c:manualLayout>
                  <c:x val="7.378083989501312E-2"/>
                  <c:y val="-0.1457316272965879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'PR ABSR'!$E$29:$E$31</c:f>
              <c:numCache>
                <c:formatCode>General</c:formatCode>
                <c:ptCount val="3"/>
                <c:pt idx="0">
                  <c:v>10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'PR ABSR'!$G$29:$G$31</c:f>
              <c:numCache>
                <c:formatCode>General</c:formatCode>
                <c:ptCount val="3"/>
                <c:pt idx="0">
                  <c:v>0.68574173860226362</c:v>
                </c:pt>
                <c:pt idx="1">
                  <c:v>0.60745502321466849</c:v>
                </c:pt>
                <c:pt idx="2">
                  <c:v>0.23044892137827391</c:v>
                </c:pt>
              </c:numCache>
            </c:numRef>
          </c:yVal>
          <c:smooth val="1"/>
        </c:ser>
        <c:ser>
          <c:idx val="4"/>
          <c:order val="4"/>
          <c:tx>
            <c:v>pp fs el 25</c:v>
          </c:tx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ABSR'!$H$6:$H$16</c:f>
              <c:numCache>
                <c:formatCode>General</c:formatCode>
                <c:ptCount val="11"/>
                <c:pt idx="0">
                  <c:v>0.85824999999999996</c:v>
                </c:pt>
                <c:pt idx="1">
                  <c:v>0.83629999999999993</c:v>
                </c:pt>
                <c:pt idx="2">
                  <c:v>0.81435000000000002</c:v>
                </c:pt>
                <c:pt idx="3">
                  <c:v>0.79239999999999999</c:v>
                </c:pt>
                <c:pt idx="4">
                  <c:v>0.74849999999999994</c:v>
                </c:pt>
                <c:pt idx="5">
                  <c:v>0.7046</c:v>
                </c:pt>
                <c:pt idx="6">
                  <c:v>0.61680000000000001</c:v>
                </c:pt>
                <c:pt idx="7">
                  <c:v>0.52899999999999991</c:v>
                </c:pt>
                <c:pt idx="8">
                  <c:v>0.44119999999999998</c:v>
                </c:pt>
                <c:pt idx="9">
                  <c:v>0.35339999999999994</c:v>
                </c:pt>
                <c:pt idx="10">
                  <c:v>-0.17340000000000011</c:v>
                </c:pt>
              </c:numCache>
            </c:numRef>
          </c:yVal>
          <c:smooth val="1"/>
        </c:ser>
        <c:ser>
          <c:idx val="5"/>
          <c:order val="5"/>
          <c:tx>
            <c:v>FS ABSRPS</c:v>
          </c:tx>
          <c:trendline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C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'PR ABSR'!$E$6:$E$8</c:f>
              <c:numCache>
                <c:formatCode>General</c:formatCode>
                <c:ptCount val="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</c:numCache>
            </c:numRef>
          </c:xVal>
          <c:yVal>
            <c:numRef>
              <c:f>'PR ABSR'!$K$6:$K$8</c:f>
              <c:numCache>
                <c:formatCode>General</c:formatCode>
                <c:ptCount val="3"/>
                <c:pt idx="0">
                  <c:v>0.85096629547352542</c:v>
                </c:pt>
                <c:pt idx="1">
                  <c:v>0.66835041542029405</c:v>
                </c:pt>
                <c:pt idx="2">
                  <c:v>5.749020628616279E-2</c:v>
                </c:pt>
              </c:numCache>
            </c:numRef>
          </c:yVal>
          <c:smooth val="1"/>
        </c:ser>
        <c:ser>
          <c:idx val="6"/>
          <c:order val="6"/>
          <c:tx>
            <c:v>ABSRP 50</c:v>
          </c:tx>
          <c:trendline>
            <c:trendlineType val="linear"/>
            <c:dispRSqr val="1"/>
            <c:dispEq val="1"/>
            <c:trendlineLbl>
              <c:layout>
                <c:manualLayout>
                  <c:x val="2.5000000000000001E-2"/>
                  <c:y val="-0.286666666666666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'PR ABSR'!$E$21:$E$23</c:f>
              <c:numCache>
                <c:formatCode>General</c:formatCode>
                <c:ptCount val="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</c:numCache>
            </c:numRef>
          </c:xVal>
          <c:yVal>
            <c:numRef>
              <c:f>'PR ABSR'!$J$21:$J$23</c:f>
              <c:numCache>
                <c:formatCode>General</c:formatCode>
                <c:ptCount val="3"/>
                <c:pt idx="0">
                  <c:v>0.97268890707698152</c:v>
                </c:pt>
                <c:pt idx="1">
                  <c:v>0.75437625410264175</c:v>
                </c:pt>
                <c:pt idx="2">
                  <c:v>0.36416247129984958</c:v>
                </c:pt>
              </c:numCache>
            </c:numRef>
          </c:yVal>
          <c:smooth val="1"/>
        </c:ser>
        <c:ser>
          <c:idx val="7"/>
          <c:order val="7"/>
          <c:tx>
            <c:v>PP ABSRP 50</c:v>
          </c:tx>
          <c:xVal>
            <c:numRef>
              <c:f>'PR ABSR'!$E$21:$E$29</c:f>
              <c:numCache>
                <c:formatCode>General</c:formatCode>
                <c:ptCount val="9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'PR ABSR'!$J$21:$J$29</c:f>
              <c:numCache>
                <c:formatCode>General</c:formatCode>
                <c:ptCount val="9"/>
                <c:pt idx="0">
                  <c:v>0.97268890707698152</c:v>
                </c:pt>
                <c:pt idx="1">
                  <c:v>0.75437625410264175</c:v>
                </c:pt>
                <c:pt idx="2">
                  <c:v>0.36416247129984958</c:v>
                </c:pt>
                <c:pt idx="3">
                  <c:v>8.8600000000000012E-2</c:v>
                </c:pt>
                <c:pt idx="4">
                  <c:v>-0.51990000000000003</c:v>
                </c:pt>
                <c:pt idx="5">
                  <c:v>-1.1284000000000001</c:v>
                </c:pt>
                <c:pt idx="6">
                  <c:v>-2.3454000000000002</c:v>
                </c:pt>
                <c:pt idx="7">
                  <c:v>-3.5624000000000002</c:v>
                </c:pt>
                <c:pt idx="8">
                  <c:v>-4.7794000000000008</c:v>
                </c:pt>
              </c:numCache>
            </c:numRef>
          </c:yVal>
          <c:smooth val="1"/>
        </c:ser>
        <c:ser>
          <c:idx val="8"/>
          <c:order val="8"/>
          <c:tx>
            <c:v>PP ELM  50</c:v>
          </c:tx>
          <c:xVal>
            <c:numRef>
              <c:f>'PR ABSR'!$E$21:$E$31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ABSR'!$H$21:$H$31</c:f>
              <c:numCache>
                <c:formatCode>General</c:formatCode>
                <c:ptCount val="11"/>
                <c:pt idx="0">
                  <c:v>0.98454999999999993</c:v>
                </c:pt>
                <c:pt idx="1">
                  <c:v>0.96849999999999992</c:v>
                </c:pt>
                <c:pt idx="2">
                  <c:v>0.95244999999999991</c:v>
                </c:pt>
                <c:pt idx="3">
                  <c:v>0.9363999999999999</c:v>
                </c:pt>
                <c:pt idx="4">
                  <c:v>0.90429999999999988</c:v>
                </c:pt>
                <c:pt idx="5">
                  <c:v>0.87219999999999998</c:v>
                </c:pt>
                <c:pt idx="6">
                  <c:v>0.80799999999999994</c:v>
                </c:pt>
                <c:pt idx="7">
                  <c:v>0.74380000000000002</c:v>
                </c:pt>
                <c:pt idx="8">
                  <c:v>0.67959999999999998</c:v>
                </c:pt>
                <c:pt idx="9">
                  <c:v>0.61539999999999995</c:v>
                </c:pt>
                <c:pt idx="10">
                  <c:v>0.23019999999999996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36064"/>
        <c:axId val="230146048"/>
      </c:scatterChart>
      <c:valAx>
        <c:axId val="2301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146048"/>
        <c:crosses val="autoZero"/>
        <c:crossBetween val="midCat"/>
      </c:valAx>
      <c:valAx>
        <c:axId val="23014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136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7598194962472"/>
          <c:y val="5.1400554097404488E-2"/>
          <c:w val="0.72567923746373819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v>profil 25 mg</c:v>
          </c:tx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ABSR'!$F$6:$F$16</c:f>
              <c:numCache>
                <c:formatCode>General</c:formatCode>
                <c:ptCount val="11"/>
                <c:pt idx="0">
                  <c:v>0.12</c:v>
                </c:pt>
                <c:pt idx="1">
                  <c:v>2.2000000000000002</c:v>
                </c:pt>
                <c:pt idx="2">
                  <c:v>5.38</c:v>
                </c:pt>
                <c:pt idx="3">
                  <c:v>6.8</c:v>
                </c:pt>
                <c:pt idx="4">
                  <c:v>6.91</c:v>
                </c:pt>
                <c:pt idx="5">
                  <c:v>6.32</c:v>
                </c:pt>
                <c:pt idx="6">
                  <c:v>4.25</c:v>
                </c:pt>
                <c:pt idx="7">
                  <c:v>3.6</c:v>
                </c:pt>
                <c:pt idx="8">
                  <c:v>2.72</c:v>
                </c:pt>
                <c:pt idx="9">
                  <c:v>2.2999999999999998</c:v>
                </c:pt>
                <c:pt idx="10">
                  <c:v>0.67</c:v>
                </c:pt>
              </c:numCache>
            </c:numRef>
          </c:yVal>
          <c:smooth val="1"/>
        </c:ser>
        <c:ser>
          <c:idx val="1"/>
          <c:order val="1"/>
          <c:tx>
            <c:v>profil 50 mg</c:v>
          </c:tx>
          <c:marker>
            <c:symbol val="square"/>
            <c:size val="7"/>
          </c:marker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ABSR'!$F$21:$F$31</c:f>
              <c:numCache>
                <c:formatCode>General</c:formatCode>
                <c:ptCount val="11"/>
                <c:pt idx="0">
                  <c:v>0.26</c:v>
                </c:pt>
                <c:pt idx="1">
                  <c:v>3.62</c:v>
                </c:pt>
                <c:pt idx="2">
                  <c:v>6.65</c:v>
                </c:pt>
                <c:pt idx="3">
                  <c:v>10.74</c:v>
                </c:pt>
                <c:pt idx="4">
                  <c:v>12.54</c:v>
                </c:pt>
                <c:pt idx="5">
                  <c:v>11.2</c:v>
                </c:pt>
                <c:pt idx="6">
                  <c:v>8.5399999999999991</c:v>
                </c:pt>
                <c:pt idx="7">
                  <c:v>6.48</c:v>
                </c:pt>
                <c:pt idx="8">
                  <c:v>4.8499999999999996</c:v>
                </c:pt>
                <c:pt idx="9">
                  <c:v>4.05</c:v>
                </c:pt>
                <c:pt idx="10">
                  <c:v>1.7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32448"/>
        <c:axId val="230233984"/>
      </c:scatterChart>
      <c:valAx>
        <c:axId val="2302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233984"/>
        <c:crosses val="autoZero"/>
        <c:crossBetween val="midCat"/>
      </c:valAx>
      <c:valAx>
        <c:axId val="230233984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30232448"/>
        <c:crosses val="autoZero"/>
        <c:crossBetween val="midCat"/>
        <c:majorUnit val="1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CP</c:v>
          </c:tx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ABSR'!$F$6:$F$16</c:f>
              <c:numCache>
                <c:formatCode>General</c:formatCode>
                <c:ptCount val="11"/>
                <c:pt idx="0">
                  <c:v>0.12</c:v>
                </c:pt>
                <c:pt idx="1">
                  <c:v>2.2000000000000002</c:v>
                </c:pt>
                <c:pt idx="2">
                  <c:v>5.38</c:v>
                </c:pt>
                <c:pt idx="3">
                  <c:v>6.8</c:v>
                </c:pt>
                <c:pt idx="4">
                  <c:v>6.91</c:v>
                </c:pt>
                <c:pt idx="5">
                  <c:v>6.32</c:v>
                </c:pt>
                <c:pt idx="6">
                  <c:v>4.25</c:v>
                </c:pt>
                <c:pt idx="7">
                  <c:v>3.6</c:v>
                </c:pt>
                <c:pt idx="8">
                  <c:v>2.72</c:v>
                </c:pt>
                <c:pt idx="9">
                  <c:v>2.2999999999999998</c:v>
                </c:pt>
                <c:pt idx="10">
                  <c:v>0.67</c:v>
                </c:pt>
              </c:numCache>
            </c:numRef>
          </c:yVal>
          <c:smooth val="1"/>
        </c:ser>
        <c:ser>
          <c:idx val="1"/>
          <c:order val="1"/>
          <c:tx>
            <c:v>LOG CP</c:v>
          </c:tx>
          <c:xVal>
            <c:numRef>
              <c:f>'PR ABSR'!$E$6:$E$16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</c:numCache>
            </c:numRef>
          </c:xVal>
          <c:yVal>
            <c:numRef>
              <c:f>'PR ABSR'!$G$6:$G$16</c:f>
              <c:numCache>
                <c:formatCode>General</c:formatCode>
                <c:ptCount val="11"/>
                <c:pt idx="0">
                  <c:v>-0.92081875395237522</c:v>
                </c:pt>
                <c:pt idx="1">
                  <c:v>0.34242268082220628</c:v>
                </c:pt>
                <c:pt idx="2">
                  <c:v>0.7307822756663892</c:v>
                </c:pt>
                <c:pt idx="3">
                  <c:v>0.83250891270623628</c:v>
                </c:pt>
                <c:pt idx="4">
                  <c:v>0.8394780473741984</c:v>
                </c:pt>
                <c:pt idx="5">
                  <c:v>0.80071707828238503</c:v>
                </c:pt>
                <c:pt idx="6">
                  <c:v>0.62838893005031149</c:v>
                </c:pt>
                <c:pt idx="7">
                  <c:v>0.55630250076728727</c:v>
                </c:pt>
                <c:pt idx="8">
                  <c:v>0.43456890403419873</c:v>
                </c:pt>
                <c:pt idx="9">
                  <c:v>0.36172783601759284</c:v>
                </c:pt>
                <c:pt idx="10">
                  <c:v>-0.17392519729917355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67136"/>
        <c:axId val="230268928"/>
      </c:scatterChart>
      <c:valAx>
        <c:axId val="2302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268928"/>
        <c:crosses val="autoZero"/>
        <c:crossBetween val="midCat"/>
      </c:valAx>
      <c:valAx>
        <c:axId val="23026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267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pers ln</c:v>
          </c:tx>
          <c:xVal>
            <c:numRef>
              <c:f>'iv 1k'!$B$3:$B$9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130</c:v>
                </c:pt>
              </c:numCache>
            </c:numRef>
          </c:xVal>
          <c:yVal>
            <c:numRef>
              <c:f>'iv 1k'!$E$3:$E$9</c:f>
              <c:numCache>
                <c:formatCode>General</c:formatCode>
                <c:ptCount val="7"/>
                <c:pt idx="0">
                  <c:v>4.5643481914678361</c:v>
                </c:pt>
                <c:pt idx="1">
                  <c:v>4.4886363697321396</c:v>
                </c:pt>
                <c:pt idx="2">
                  <c:v>4.290459441148391</c:v>
                </c:pt>
                <c:pt idx="3">
                  <c:v>4.0430512678345503</c:v>
                </c:pt>
                <c:pt idx="4">
                  <c:v>3.5263605246161616</c:v>
                </c:pt>
                <c:pt idx="5">
                  <c:v>2.3025850929940459</c:v>
                </c:pt>
                <c:pt idx="6">
                  <c:v>0.91629073187415511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27-4D9F-9CDA-6F971DC34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04864"/>
        <c:axId val="135206400"/>
      </c:scatterChart>
      <c:valAx>
        <c:axId val="1352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06400"/>
        <c:crosses val="autoZero"/>
        <c:crossBetween val="midCat"/>
      </c:valAx>
      <c:valAx>
        <c:axId val="13520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04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xVal>
            <c:numRef>
              <c:f>Sheet2!$A$20:$A$30</c:f>
              <c:numCache>
                <c:formatCode>General</c:formatCode>
                <c:ptCount val="11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Sheet2!$B$20:$B$30</c:f>
              <c:numCache>
                <c:formatCode>General</c:formatCode>
                <c:ptCount val="11"/>
                <c:pt idx="0">
                  <c:v>3</c:v>
                </c:pt>
                <c:pt idx="1">
                  <c:v>3.8</c:v>
                </c:pt>
                <c:pt idx="2">
                  <c:v>4.5999999999999996</c:v>
                </c:pt>
                <c:pt idx="3">
                  <c:v>5.7</c:v>
                </c:pt>
                <c:pt idx="4">
                  <c:v>5.6</c:v>
                </c:pt>
                <c:pt idx="5">
                  <c:v>4.8</c:v>
                </c:pt>
                <c:pt idx="6">
                  <c:v>3.2</c:v>
                </c:pt>
                <c:pt idx="7">
                  <c:v>2</c:v>
                </c:pt>
                <c:pt idx="8">
                  <c:v>1.2</c:v>
                </c:pt>
                <c:pt idx="9">
                  <c:v>0.75</c:v>
                </c:pt>
                <c:pt idx="10">
                  <c:v>0.46</c:v>
                </c:pt>
              </c:numCache>
            </c:numRef>
          </c:yVal>
          <c:smooth val="1"/>
        </c:ser>
        <c:ser>
          <c:idx val="1"/>
          <c:order val="1"/>
          <c:tx>
            <c:v>ELIM</c:v>
          </c:tx>
          <c:xVal>
            <c:numRef>
              <c:f>Sheet2!$A$26:$A$30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Sheet2!$B$26:$B$30</c:f>
              <c:numCache>
                <c:formatCode>General</c:formatCode>
                <c:ptCount val="5"/>
                <c:pt idx="0">
                  <c:v>3.2</c:v>
                </c:pt>
                <c:pt idx="1">
                  <c:v>2</c:v>
                </c:pt>
                <c:pt idx="2">
                  <c:v>1.2</c:v>
                </c:pt>
                <c:pt idx="3">
                  <c:v>0.75</c:v>
                </c:pt>
                <c:pt idx="4">
                  <c:v>0.46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384768"/>
        <c:axId val="230386304"/>
      </c:scatterChart>
      <c:valAx>
        <c:axId val="2303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386304"/>
        <c:crosses val="autoZero"/>
        <c:crossBetween val="midCat"/>
      </c:valAx>
      <c:valAx>
        <c:axId val="230386304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30384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</c:v>
          </c:tx>
          <c:xVal>
            <c:numRef>
              <c:f>Sheet2!$A$20:$A$30</c:f>
              <c:numCache>
                <c:formatCode>General</c:formatCode>
                <c:ptCount val="11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Sheet2!$C$20:$C$30</c:f>
              <c:numCache>
                <c:formatCode>General</c:formatCode>
                <c:ptCount val="11"/>
                <c:pt idx="0">
                  <c:v>0.47712125471966244</c:v>
                </c:pt>
                <c:pt idx="1">
                  <c:v>0.57978359661681012</c:v>
                </c:pt>
                <c:pt idx="2">
                  <c:v>0.66275783168157409</c:v>
                </c:pt>
                <c:pt idx="3">
                  <c:v>0.75587485567249146</c:v>
                </c:pt>
                <c:pt idx="4">
                  <c:v>0.74818802700620035</c:v>
                </c:pt>
                <c:pt idx="5">
                  <c:v>0.68124123737558717</c:v>
                </c:pt>
                <c:pt idx="6">
                  <c:v>0.50514997831990605</c:v>
                </c:pt>
                <c:pt idx="7">
                  <c:v>0.3010299956639812</c:v>
                </c:pt>
                <c:pt idx="8">
                  <c:v>7.9181246047624818E-2</c:v>
                </c:pt>
                <c:pt idx="9">
                  <c:v>-0.12493873660829995</c:v>
                </c:pt>
                <c:pt idx="10">
                  <c:v>-0.33724216831842591</c:v>
                </c:pt>
              </c:numCache>
            </c:numRef>
          </c:yVal>
          <c:smooth val="1"/>
        </c:ser>
        <c:ser>
          <c:idx val="1"/>
          <c:order val="1"/>
          <c:tx>
            <c:v>E</c:v>
          </c:tx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Sheet2!$A$26:$A$30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Sheet2!$C$26:$C$30</c:f>
              <c:numCache>
                <c:formatCode>General</c:formatCode>
                <c:ptCount val="5"/>
                <c:pt idx="0">
                  <c:v>0.50514997831990605</c:v>
                </c:pt>
                <c:pt idx="1">
                  <c:v>0.3010299956639812</c:v>
                </c:pt>
                <c:pt idx="2">
                  <c:v>7.9181246047624818E-2</c:v>
                </c:pt>
                <c:pt idx="3">
                  <c:v>-0.12493873660829995</c:v>
                </c:pt>
                <c:pt idx="4">
                  <c:v>-0.33724216831842591</c:v>
                </c:pt>
              </c:numCache>
            </c:numRef>
          </c:yVal>
          <c:smooth val="1"/>
        </c:ser>
        <c:ser>
          <c:idx val="4"/>
          <c:order val="2"/>
          <c:tx>
            <c:v>EL 5</c:v>
          </c:tx>
          <c:trendline>
            <c:trendlineType val="linear"/>
            <c:dispRSqr val="1"/>
            <c:dispEq val="1"/>
            <c:trendlineLbl>
              <c:layout>
                <c:manualLayout>
                  <c:x val="0.32760804899387574"/>
                  <c:y val="3.478018372703412E-2"/>
                </c:manualLayout>
              </c:layout>
              <c:numFmt formatCode="General" sourceLinked="0"/>
            </c:trendlineLbl>
          </c:trendline>
          <c:xVal>
            <c:numRef>
              <c:f>Sheet2!$A$26:$A$30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Sheet2!$C$26:$C$30</c:f>
              <c:numCache>
                <c:formatCode>General</c:formatCode>
                <c:ptCount val="5"/>
                <c:pt idx="0">
                  <c:v>0.50514997831990605</c:v>
                </c:pt>
                <c:pt idx="1">
                  <c:v>0.3010299956639812</c:v>
                </c:pt>
                <c:pt idx="2">
                  <c:v>7.9181246047624818E-2</c:v>
                </c:pt>
                <c:pt idx="3">
                  <c:v>-0.12493873660829995</c:v>
                </c:pt>
                <c:pt idx="4">
                  <c:v>-0.33724216831842591</c:v>
                </c:pt>
              </c:numCache>
            </c:numRef>
          </c:yVal>
          <c:smooth val="1"/>
        </c:ser>
        <c:ser>
          <c:idx val="2"/>
          <c:order val="3"/>
          <c:tx>
            <c:v>pjngn elm</c:v>
          </c:tx>
          <c:xVal>
            <c:numRef>
              <c:f>Sheet2!$A$20:$A$30</c:f>
              <c:numCache>
                <c:formatCode>General</c:formatCode>
                <c:ptCount val="11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Sheet2!$D$20:$D$30</c:f>
              <c:numCache>
                <c:formatCode>General</c:formatCode>
                <c:ptCount val="11"/>
                <c:pt idx="0">
                  <c:v>1.0872249999999999</c:v>
                </c:pt>
                <c:pt idx="1">
                  <c:v>1.0608374999999999</c:v>
                </c:pt>
                <c:pt idx="2">
                  <c:v>1.0344499999999999</c:v>
                </c:pt>
                <c:pt idx="3">
                  <c:v>0.92889999999999984</c:v>
                </c:pt>
                <c:pt idx="4">
                  <c:v>0.82334999999999992</c:v>
                </c:pt>
                <c:pt idx="5">
                  <c:v>0.71779999999999988</c:v>
                </c:pt>
                <c:pt idx="6">
                  <c:v>0.50514997831990605</c:v>
                </c:pt>
                <c:pt idx="7">
                  <c:v>0.3010299956639812</c:v>
                </c:pt>
                <c:pt idx="8">
                  <c:v>7.9181246047624818E-2</c:v>
                </c:pt>
                <c:pt idx="9">
                  <c:v>-0.12493873660829995</c:v>
                </c:pt>
                <c:pt idx="10">
                  <c:v>-0.33724216831842591</c:v>
                </c:pt>
              </c:numCache>
            </c:numRef>
          </c:yVal>
          <c:smooth val="1"/>
        </c:ser>
        <c:ser>
          <c:idx val="3"/>
          <c:order val="4"/>
          <c:tx>
            <c:v>aabs</c:v>
          </c:tx>
          <c:trendline>
            <c:trendlineType val="linear"/>
            <c:dispRSqr val="1"/>
            <c:dispEq val="1"/>
            <c:trendlineLbl>
              <c:layout>
                <c:manualLayout>
                  <c:x val="0.26666666666666666"/>
                  <c:y val="-0.13004593175853019"/>
                </c:manualLayout>
              </c:layout>
              <c:numFmt formatCode="General" sourceLinked="0"/>
            </c:trendlineLbl>
          </c:trendline>
          <c:xVal>
            <c:numRef>
              <c:f>Sheet2!$A$20:$A$23</c:f>
              <c:numCache>
                <c:formatCode>General</c:formatCode>
                <c:ptCount val="4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Sheet2!$G$20:$G$23</c:f>
              <c:numCache>
                <c:formatCode>General</c:formatCode>
                <c:ptCount val="4"/>
                <c:pt idx="0">
                  <c:v>0.96493474486801567</c:v>
                </c:pt>
                <c:pt idx="1">
                  <c:v>0.88669929121364177</c:v>
                </c:pt>
                <c:pt idx="2">
                  <c:v>0.79417777723030814</c:v>
                </c:pt>
                <c:pt idx="3">
                  <c:v>0.44558080135525369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53248"/>
        <c:axId val="230454784"/>
      </c:scatterChart>
      <c:valAx>
        <c:axId val="2304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454784"/>
        <c:crosses val="autoZero"/>
        <c:crossBetween val="midCat"/>
        <c:majorUnit val="0.5"/>
      </c:valAx>
      <c:valAx>
        <c:axId val="23045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453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 </c:v>
          </c:tx>
          <c:xVal>
            <c:numRef>
              <c:f>Sheet2!$A$20:$A$30</c:f>
              <c:numCache>
                <c:formatCode>General</c:formatCode>
                <c:ptCount val="11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Sheet2!$B$20:$B$30</c:f>
              <c:numCache>
                <c:formatCode>General</c:formatCode>
                <c:ptCount val="11"/>
                <c:pt idx="0">
                  <c:v>3</c:v>
                </c:pt>
                <c:pt idx="1">
                  <c:v>3.8</c:v>
                </c:pt>
                <c:pt idx="2">
                  <c:v>4.5999999999999996</c:v>
                </c:pt>
                <c:pt idx="3">
                  <c:v>5.7</c:v>
                </c:pt>
                <c:pt idx="4">
                  <c:v>5.6</c:v>
                </c:pt>
                <c:pt idx="5">
                  <c:v>4.8</c:v>
                </c:pt>
                <c:pt idx="6">
                  <c:v>3.2</c:v>
                </c:pt>
                <c:pt idx="7">
                  <c:v>2</c:v>
                </c:pt>
                <c:pt idx="8">
                  <c:v>1.2</c:v>
                </c:pt>
                <c:pt idx="9">
                  <c:v>0.75</c:v>
                </c:pt>
                <c:pt idx="10">
                  <c:v>0.46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87168"/>
        <c:axId val="230488704"/>
      </c:scatterChart>
      <c:valAx>
        <c:axId val="2304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488704"/>
        <c:crosses val="autoZero"/>
        <c:crossBetween val="midCat"/>
      </c:valAx>
      <c:valAx>
        <c:axId val="230488704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30487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0529308836395"/>
          <c:y val="5.7155828494411171E-2"/>
          <c:w val="0.63852405949256341"/>
          <c:h val="0.80794049392474587"/>
        </c:manualLayout>
      </c:layout>
      <c:scatterChart>
        <c:scatterStyle val="smoothMarker"/>
        <c:varyColors val="0"/>
        <c:ser>
          <c:idx val="0"/>
          <c:order val="0"/>
          <c:tx>
            <c:v>PROFIL O </c:v>
          </c:tx>
          <c:xVal>
            <c:numRef>
              <c:f>Sheet2!$A$20:$A$30</c:f>
              <c:numCache>
                <c:formatCode>General</c:formatCode>
                <c:ptCount val="11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Sheet2!$C$20:$C$30</c:f>
              <c:numCache>
                <c:formatCode>General</c:formatCode>
                <c:ptCount val="11"/>
                <c:pt idx="0">
                  <c:v>0.47712125471966244</c:v>
                </c:pt>
                <c:pt idx="1">
                  <c:v>0.57978359661681012</c:v>
                </c:pt>
                <c:pt idx="2">
                  <c:v>0.66275783168157409</c:v>
                </c:pt>
                <c:pt idx="3">
                  <c:v>0.75587485567249146</c:v>
                </c:pt>
                <c:pt idx="4">
                  <c:v>0.74818802700620035</c:v>
                </c:pt>
                <c:pt idx="5">
                  <c:v>0.68124123737558717</c:v>
                </c:pt>
                <c:pt idx="6">
                  <c:v>0.50514997831990605</c:v>
                </c:pt>
                <c:pt idx="7">
                  <c:v>0.3010299956639812</c:v>
                </c:pt>
                <c:pt idx="8">
                  <c:v>7.9181246047624818E-2</c:v>
                </c:pt>
                <c:pt idx="9">
                  <c:v>-0.12493873660829995</c:v>
                </c:pt>
                <c:pt idx="10">
                  <c:v>-0.33724216831842591</c:v>
                </c:pt>
              </c:numCache>
            </c:numRef>
          </c:yVal>
          <c:smooth val="1"/>
        </c:ser>
        <c:ser>
          <c:idx val="1"/>
          <c:order val="1"/>
          <c:tx>
            <c:v>ELIMINASI</c:v>
          </c:tx>
          <c:trendline>
            <c:trendlineType val="linear"/>
            <c:dispRSqr val="1"/>
            <c:dispEq val="1"/>
            <c:trendlineLbl>
              <c:layout>
                <c:manualLayout>
                  <c:x val="0.41450065616797899"/>
                  <c:y val="-9.9004447360746567E-2"/>
                </c:manualLayout>
              </c:layout>
              <c:numFmt formatCode="General" sourceLinked="0"/>
            </c:trendlineLbl>
          </c:trendline>
          <c:xVal>
            <c:numRef>
              <c:f>Sheet2!$A$26:$A$30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Sheet2!$C$26:$C$30</c:f>
              <c:numCache>
                <c:formatCode>General</c:formatCode>
                <c:ptCount val="5"/>
                <c:pt idx="0">
                  <c:v>0.50514997831990605</c:v>
                </c:pt>
                <c:pt idx="1">
                  <c:v>0.3010299956639812</c:v>
                </c:pt>
                <c:pt idx="2">
                  <c:v>7.9181246047624818E-2</c:v>
                </c:pt>
                <c:pt idx="3">
                  <c:v>-0.12493873660829995</c:v>
                </c:pt>
                <c:pt idx="4">
                  <c:v>-0.33724216831842591</c:v>
                </c:pt>
              </c:numCache>
            </c:numRef>
          </c:yVal>
          <c:smooth val="1"/>
        </c:ser>
        <c:ser>
          <c:idx val="2"/>
          <c:order val="2"/>
          <c:tx>
            <c:v>perpanjangan elmns</c:v>
          </c:tx>
          <c:xVal>
            <c:numRef>
              <c:f>Sheet2!$A$20:$A$30</c:f>
              <c:numCache>
                <c:formatCode>General</c:formatCode>
                <c:ptCount val="11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Sheet2!$D$20:$D$30</c:f>
              <c:numCache>
                <c:formatCode>General</c:formatCode>
                <c:ptCount val="11"/>
                <c:pt idx="0">
                  <c:v>1.0872249999999999</c:v>
                </c:pt>
                <c:pt idx="1">
                  <c:v>1.0608374999999999</c:v>
                </c:pt>
                <c:pt idx="2">
                  <c:v>1.0344499999999999</c:v>
                </c:pt>
                <c:pt idx="3">
                  <c:v>0.92889999999999984</c:v>
                </c:pt>
                <c:pt idx="4">
                  <c:v>0.82334999999999992</c:v>
                </c:pt>
                <c:pt idx="5">
                  <c:v>0.71779999999999988</c:v>
                </c:pt>
                <c:pt idx="6">
                  <c:v>0.50514997831990605</c:v>
                </c:pt>
                <c:pt idx="7">
                  <c:v>0.3010299956639812</c:v>
                </c:pt>
                <c:pt idx="8">
                  <c:v>7.9181246047624818E-2</c:v>
                </c:pt>
                <c:pt idx="9">
                  <c:v>-0.12493873660829995</c:v>
                </c:pt>
                <c:pt idx="10">
                  <c:v>-0.33724216831842591</c:v>
                </c:pt>
              </c:numCache>
            </c:numRef>
          </c:yVal>
          <c:smooth val="1"/>
        </c:ser>
        <c:ser>
          <c:idx val="3"/>
          <c:order val="3"/>
          <c:tx>
            <c:v>absorpsi</c:v>
          </c:tx>
          <c:trendline>
            <c:trendlineType val="linear"/>
            <c:dispRSqr val="1"/>
            <c:dispEq val="1"/>
            <c:trendlineLbl>
              <c:layout>
                <c:manualLayout>
                  <c:x val="0.15555555555555556"/>
                  <c:y val="0.52964784807304488"/>
                </c:manualLayout>
              </c:layout>
              <c:numFmt formatCode="General" sourceLinked="0"/>
            </c:trendlineLbl>
          </c:trendline>
          <c:xVal>
            <c:numRef>
              <c:f>Sheet2!$A$20:$A$23</c:f>
              <c:numCache>
                <c:formatCode>General</c:formatCode>
                <c:ptCount val="4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Sheet2!$G$20:$G$23</c:f>
              <c:numCache>
                <c:formatCode>General</c:formatCode>
                <c:ptCount val="4"/>
                <c:pt idx="0">
                  <c:v>0.96493474486801567</c:v>
                </c:pt>
                <c:pt idx="1">
                  <c:v>0.88669929121364177</c:v>
                </c:pt>
                <c:pt idx="2">
                  <c:v>0.79417777723030814</c:v>
                </c:pt>
                <c:pt idx="3">
                  <c:v>0.44558080135525369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719680"/>
        <c:axId val="277725952"/>
      </c:scatterChart>
      <c:valAx>
        <c:axId val="2777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WAKTU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77725952"/>
        <c:crosses val="autoZero"/>
        <c:crossBetween val="midCat"/>
      </c:valAx>
      <c:valAx>
        <c:axId val="277725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CP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620096271749815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77719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 </c:v>
          </c:tx>
          <c:xVal>
            <c:numRef>
              <c:f>'ABSP 2'!$C$9:$L$9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20</c:v>
                </c:pt>
              </c:numCache>
            </c:numRef>
          </c:xVal>
          <c:yVal>
            <c:numRef>
              <c:f>'ABSP 2'!$C$10:$L$10</c:f>
              <c:numCache>
                <c:formatCode>0.00</c:formatCode>
                <c:ptCount val="10"/>
                <c:pt idx="0">
                  <c:v>2.85</c:v>
                </c:pt>
                <c:pt idx="1">
                  <c:v>5.43</c:v>
                </c:pt>
                <c:pt idx="2">
                  <c:v>7.75</c:v>
                </c:pt>
                <c:pt idx="3">
                  <c:v>9.84</c:v>
                </c:pt>
                <c:pt idx="4">
                  <c:v>16.2</c:v>
                </c:pt>
                <c:pt idx="5">
                  <c:v>22.15</c:v>
                </c:pt>
                <c:pt idx="6">
                  <c:v>23.01</c:v>
                </c:pt>
                <c:pt idx="7">
                  <c:v>19.09</c:v>
                </c:pt>
                <c:pt idx="8">
                  <c:v>13.9</c:v>
                </c:pt>
                <c:pt idx="9">
                  <c:v>7.97</c:v>
                </c:pt>
              </c:numCache>
            </c:numRef>
          </c:yVal>
          <c:smooth val="1"/>
        </c:ser>
        <c:ser>
          <c:idx val="1"/>
          <c:order val="1"/>
          <c:tx>
            <c:v>ELM 1</c:v>
          </c:tx>
          <c:trendline>
            <c:trendlineType val="linear"/>
            <c:dispRSqr val="1"/>
            <c:dispEq val="1"/>
            <c:trendlineLbl>
              <c:layout>
                <c:manualLayout>
                  <c:x val="0.37025853018372701"/>
                  <c:y val="-0.31088108778069407"/>
                </c:manualLayout>
              </c:layout>
              <c:numFmt formatCode="General" sourceLinked="0"/>
            </c:trendlineLbl>
          </c:trendline>
          <c:xVal>
            <c:numRef>
              <c:f>'ABSP 2'!$J$9:$L$9</c:f>
              <c:numCache>
                <c:formatCode>0.00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20</c:v>
                </c:pt>
              </c:numCache>
            </c:numRef>
          </c:xVal>
          <c:yVal>
            <c:numRef>
              <c:f>'ABSP 2'!$J$10:$L$10</c:f>
              <c:numCache>
                <c:formatCode>0.00</c:formatCode>
                <c:ptCount val="3"/>
                <c:pt idx="0">
                  <c:v>19.09</c:v>
                </c:pt>
                <c:pt idx="1">
                  <c:v>13.9</c:v>
                </c:pt>
                <c:pt idx="2">
                  <c:v>7.97</c:v>
                </c:pt>
              </c:numCache>
            </c:numRef>
          </c:yVal>
          <c:smooth val="1"/>
        </c:ser>
        <c:ser>
          <c:idx val="2"/>
          <c:order val="2"/>
          <c:tx>
            <c:v>ELM 1 T</c:v>
          </c:tx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'ABSP 2'!$C$12:$L$12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20</c:v>
                </c:pt>
              </c:numCache>
            </c:numRef>
          </c:xVal>
          <c:yVal>
            <c:numRef>
              <c:f>'ABSP 2'!$C$13:$L$13</c:f>
              <c:numCache>
                <c:formatCode>General</c:formatCode>
                <c:ptCount val="10"/>
                <c:pt idx="0">
                  <c:v>29.54345</c:v>
                </c:pt>
                <c:pt idx="1">
                  <c:v>29.267899999999997</c:v>
                </c:pt>
                <c:pt idx="2">
                  <c:v>28.992349999999998</c:v>
                </c:pt>
                <c:pt idx="3">
                  <c:v>28.716799999999999</c:v>
                </c:pt>
                <c:pt idx="4">
                  <c:v>27.614599999999999</c:v>
                </c:pt>
                <c:pt idx="5">
                  <c:v>25.4102</c:v>
                </c:pt>
                <c:pt idx="6">
                  <c:v>23.205799999999996</c:v>
                </c:pt>
                <c:pt idx="7" formatCode="0.00">
                  <c:v>19.09</c:v>
                </c:pt>
                <c:pt idx="8" formatCode="0.00">
                  <c:v>13.9</c:v>
                </c:pt>
                <c:pt idx="9" formatCode="0.00">
                  <c:v>7.97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422464"/>
        <c:axId val="277424000"/>
      </c:scatterChart>
      <c:valAx>
        <c:axId val="2774224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77424000"/>
        <c:crosses val="autoZero"/>
        <c:crossBetween val="midCat"/>
      </c:valAx>
      <c:valAx>
        <c:axId val="277424000"/>
        <c:scaling>
          <c:logBase val="10"/>
          <c:orientation val="minMax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277422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</c:v>
          </c:tx>
          <c:trendline>
            <c:trendlineType val="linear"/>
            <c:dispRSqr val="1"/>
            <c:dispEq val="1"/>
            <c:trendlineLbl>
              <c:layout>
                <c:manualLayout>
                  <c:x val="0.50003416239636622"/>
                  <c:y val="-0.7404760611820073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tx2"/>
                        </a:solidFill>
                      </a:defRPr>
                    </a:pPr>
                    <a:r>
                      <a:rPr lang="en-US" baseline="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y = -0.450x + 7.343
R² = 0.892</a:t>
                    </a:r>
                    <a:endParaRPr lang="en-US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endParaRPr>
                  </a:p>
                </c:rich>
              </c:tx>
              <c:numFmt formatCode="General" sourceLinked="0"/>
              <c:spPr>
                <a:noFill/>
              </c:spPr>
            </c:trendlineLbl>
          </c:trendline>
          <c:xVal>
            <c:numRef>
              <c:f>'iv 1k'!$B$23:$B$29</c:f>
              <c:numCache>
                <c:formatCode>General</c:formatCode>
                <c:ptCount val="7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18</c:v>
                </c:pt>
              </c:numCache>
            </c:numRef>
          </c:xVal>
          <c:yVal>
            <c:numRef>
              <c:f>'iv 1k'!$C$23:$C$29</c:f>
              <c:numCache>
                <c:formatCode>General</c:formatCode>
                <c:ptCount val="7"/>
                <c:pt idx="0">
                  <c:v>8.2100000000000009</c:v>
                </c:pt>
                <c:pt idx="1">
                  <c:v>7.87</c:v>
                </c:pt>
                <c:pt idx="2">
                  <c:v>7.23</c:v>
                </c:pt>
                <c:pt idx="3">
                  <c:v>5.15</c:v>
                </c:pt>
                <c:pt idx="4">
                  <c:v>3.09</c:v>
                </c:pt>
                <c:pt idx="5">
                  <c:v>1.1100000000000001</c:v>
                </c:pt>
                <c:pt idx="6">
                  <c:v>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AA-4DCC-8067-1E67ED40181F}"/>
            </c:ext>
          </c:extLst>
        </c:ser>
        <c:ser>
          <c:idx val="1"/>
          <c:order val="1"/>
          <c:tx>
            <c:v>LOG</c:v>
          </c:tx>
          <c:trendline>
            <c:trendlineType val="linear"/>
            <c:dispRSqr val="1"/>
            <c:dispEq val="1"/>
            <c:trendlineLbl>
              <c:layout>
                <c:manualLayout>
                  <c:x val="0.46193892430112904"/>
                  <c:y val="-2.680630438436581E-2"/>
                </c:manualLayout>
              </c:layout>
              <c:numFmt formatCode="General" sourceLinked="0"/>
            </c:trendlineLbl>
          </c:trendline>
          <c:xVal>
            <c:numRef>
              <c:f>'iv 1k'!$B$23:$B$29</c:f>
              <c:numCache>
                <c:formatCode>General</c:formatCode>
                <c:ptCount val="7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18</c:v>
                </c:pt>
              </c:numCache>
            </c:numRef>
          </c:xVal>
          <c:yVal>
            <c:numRef>
              <c:f>'iv 1k'!$D$23:$D$29</c:f>
              <c:numCache>
                <c:formatCode>General</c:formatCode>
                <c:ptCount val="7"/>
                <c:pt idx="0">
                  <c:v>0.91434315711944081</c:v>
                </c:pt>
                <c:pt idx="1">
                  <c:v>0.89597473235906455</c:v>
                </c:pt>
                <c:pt idx="2">
                  <c:v>0.85913829729453084</c:v>
                </c:pt>
                <c:pt idx="3">
                  <c:v>0.71180722904119109</c:v>
                </c:pt>
                <c:pt idx="4">
                  <c:v>0.48995847942483461</c:v>
                </c:pt>
                <c:pt idx="5">
                  <c:v>4.5322978786657475E-2</c:v>
                </c:pt>
                <c:pt idx="6">
                  <c:v>-0.3979400086720376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AA-4DCC-8067-1E67ED401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36608"/>
        <c:axId val="135238400"/>
      </c:scatterChart>
      <c:valAx>
        <c:axId val="1352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38400"/>
        <c:crosses val="autoZero"/>
        <c:crossBetween val="midCat"/>
      </c:valAx>
      <c:valAx>
        <c:axId val="13523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36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6702099737532808"/>
          <c:y val="0.19162316462105208"/>
          <c:w val="0.73274972981318676"/>
          <c:h val="0.79021665191259349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'iv 1k'!$B$23:$B$29</c:f>
              <c:numCache>
                <c:formatCode>General</c:formatCode>
                <c:ptCount val="7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18</c:v>
                </c:pt>
              </c:numCache>
            </c:numRef>
          </c:xVal>
          <c:yVal>
            <c:numRef>
              <c:f>'iv 1k'!$C$23:$C$29</c:f>
              <c:numCache>
                <c:formatCode>General</c:formatCode>
                <c:ptCount val="7"/>
                <c:pt idx="0">
                  <c:v>8.2100000000000009</c:v>
                </c:pt>
                <c:pt idx="1">
                  <c:v>7.87</c:v>
                </c:pt>
                <c:pt idx="2">
                  <c:v>7.23</c:v>
                </c:pt>
                <c:pt idx="3">
                  <c:v>5.15</c:v>
                </c:pt>
                <c:pt idx="4">
                  <c:v>3.09</c:v>
                </c:pt>
                <c:pt idx="5">
                  <c:v>1.1100000000000001</c:v>
                </c:pt>
                <c:pt idx="6">
                  <c:v>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E1-4CA6-B96C-5D94619F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60672"/>
        <c:axId val="135662208"/>
      </c:scatterChart>
      <c:valAx>
        <c:axId val="1356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662208"/>
        <c:crosses val="autoZero"/>
        <c:crossBetween val="midCat"/>
      </c:valAx>
      <c:valAx>
        <c:axId val="135662208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in"/>
        <c:tickLblPos val="nextTo"/>
        <c:crossAx val="135660672"/>
        <c:crosses val="autoZero"/>
        <c:crossBetween val="midCat"/>
        <c:majorUnit val="10"/>
        <c:minorUnit val="10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</c:v>
          </c:tx>
          <c:xVal>
            <c:numRef>
              <c:f>'iv 1k'!$B$23:$B$29</c:f>
              <c:numCache>
                <c:formatCode>General</c:formatCode>
                <c:ptCount val="7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18</c:v>
                </c:pt>
              </c:numCache>
            </c:numRef>
          </c:xVal>
          <c:yVal>
            <c:numRef>
              <c:f>'iv 1k'!$C$23:$C$29</c:f>
              <c:numCache>
                <c:formatCode>General</c:formatCode>
                <c:ptCount val="7"/>
                <c:pt idx="0">
                  <c:v>8.2100000000000009</c:v>
                </c:pt>
                <c:pt idx="1">
                  <c:v>7.87</c:v>
                </c:pt>
                <c:pt idx="2">
                  <c:v>7.23</c:v>
                </c:pt>
                <c:pt idx="3">
                  <c:v>5.15</c:v>
                </c:pt>
                <c:pt idx="4">
                  <c:v>3.09</c:v>
                </c:pt>
                <c:pt idx="5">
                  <c:v>1.1100000000000001</c:v>
                </c:pt>
                <c:pt idx="6">
                  <c:v>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7C-43EC-A5F3-14E98D158547}"/>
            </c:ext>
          </c:extLst>
        </c:ser>
        <c:ser>
          <c:idx val="1"/>
          <c:order val="1"/>
          <c:tx>
            <c:v>loC</c:v>
          </c:tx>
          <c:trendline>
            <c:trendlineType val="linear"/>
            <c:dispRSqr val="1"/>
            <c:dispEq val="1"/>
            <c:trendlineLbl>
              <c:layout>
                <c:manualLayout>
                  <c:x val="0.49977034120734964"/>
                  <c:y val="-0.15252150772820064"/>
                </c:manualLayout>
              </c:layout>
              <c:numFmt formatCode="General" sourceLinked="0"/>
              <c:spPr>
                <a:solidFill>
                  <a:srgbClr val="FFFF00"/>
                </a:solidFill>
              </c:spPr>
            </c:trendlineLbl>
          </c:trendline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'iv 1k'!$B$23:$B$29</c:f>
              <c:numCache>
                <c:formatCode>General</c:formatCode>
                <c:ptCount val="7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18</c:v>
                </c:pt>
              </c:numCache>
            </c:numRef>
          </c:xVal>
          <c:yVal>
            <c:numRef>
              <c:f>'iv 1k'!$D$23:$D$29</c:f>
              <c:numCache>
                <c:formatCode>General</c:formatCode>
                <c:ptCount val="7"/>
                <c:pt idx="0">
                  <c:v>0.91434315711944081</c:v>
                </c:pt>
                <c:pt idx="1">
                  <c:v>0.89597473235906455</c:v>
                </c:pt>
                <c:pt idx="2">
                  <c:v>0.85913829729453084</c:v>
                </c:pt>
                <c:pt idx="3">
                  <c:v>0.71180722904119109</c:v>
                </c:pt>
                <c:pt idx="4">
                  <c:v>0.48995847942483461</c:v>
                </c:pt>
                <c:pt idx="5">
                  <c:v>4.5322978786657475E-2</c:v>
                </c:pt>
                <c:pt idx="6">
                  <c:v>-0.3979400086720376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7C-43EC-A5F3-14E98D15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02400"/>
        <c:axId val="135703936"/>
      </c:scatterChart>
      <c:valAx>
        <c:axId val="1357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03936"/>
        <c:crosses val="autoZero"/>
        <c:crossBetween val="midCat"/>
      </c:valAx>
      <c:valAx>
        <c:axId val="135703936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35702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</c:v>
          </c:tx>
          <c:xVal>
            <c:numRef>
              <c:f>'iv 1k'!$B$23:$B$29</c:f>
              <c:numCache>
                <c:formatCode>General</c:formatCode>
                <c:ptCount val="7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18</c:v>
                </c:pt>
              </c:numCache>
            </c:numRef>
          </c:xVal>
          <c:yVal>
            <c:numRef>
              <c:f>'iv 1k'!$C$23:$C$29</c:f>
              <c:numCache>
                <c:formatCode>General</c:formatCode>
                <c:ptCount val="7"/>
                <c:pt idx="0">
                  <c:v>8.2100000000000009</c:v>
                </c:pt>
                <c:pt idx="1">
                  <c:v>7.87</c:v>
                </c:pt>
                <c:pt idx="2">
                  <c:v>7.23</c:v>
                </c:pt>
                <c:pt idx="3">
                  <c:v>5.15</c:v>
                </c:pt>
                <c:pt idx="4">
                  <c:v>3.09</c:v>
                </c:pt>
                <c:pt idx="5">
                  <c:v>1.1100000000000001</c:v>
                </c:pt>
                <c:pt idx="6">
                  <c:v>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7C-43EC-A5F3-14E98D15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70272"/>
        <c:axId val="140076160"/>
      </c:scatterChart>
      <c:valAx>
        <c:axId val="1400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76160"/>
        <c:crosses val="autoZero"/>
        <c:crossBetween val="midCat"/>
      </c:valAx>
      <c:valAx>
        <c:axId val="140076160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40070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40087680"/>
        <c:axId val="140089600"/>
      </c:scatterChart>
      <c:valAx>
        <c:axId val="140087680"/>
        <c:scaling>
          <c:orientation val="minMax"/>
        </c:scaling>
        <c:delete val="0"/>
        <c:axPos val="b"/>
        <c:majorGridlines/>
        <c:minorGridlines/>
        <c:title>
          <c:overlay val="0"/>
        </c:title>
        <c:majorTickMark val="out"/>
        <c:minorTickMark val="none"/>
        <c:tickLblPos val="nextTo"/>
        <c:crossAx val="140089600"/>
        <c:crosses val="autoZero"/>
        <c:crossBetween val="midCat"/>
      </c:valAx>
      <c:valAx>
        <c:axId val="140089600"/>
        <c:scaling>
          <c:orientation val="minMax"/>
        </c:scaling>
        <c:delete val="0"/>
        <c:axPos val="l"/>
        <c:majorGridlines/>
        <c:minorGridlines/>
        <c:title>
          <c:overlay val="0"/>
        </c:title>
        <c:numFmt formatCode="General" sourceLinked="1"/>
        <c:majorTickMark val="out"/>
        <c:minorTickMark val="none"/>
        <c:tickLblPos val="nextTo"/>
        <c:crossAx val="140087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'iv 1k'!$AD$16:$AD$25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A</c:v>
          </c:tx>
          <c:xVal>
            <c:numRef>
              <c:f>'iv 1k'!$AD$16:$AD$25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'iv 1k'!$AE$16:$AE$25</c:f>
              <c:numCache>
                <c:formatCode>General</c:formatCode>
                <c:ptCount val="10"/>
                <c:pt idx="0">
                  <c:v>5000</c:v>
                </c:pt>
                <c:pt idx="1">
                  <c:v>2000</c:v>
                </c:pt>
                <c:pt idx="2">
                  <c:v>1000</c:v>
                </c:pt>
                <c:pt idx="3">
                  <c:v>100</c:v>
                </c:pt>
                <c:pt idx="4">
                  <c:v>10</c:v>
                </c:pt>
                <c:pt idx="5">
                  <c:v>4</c:v>
                </c:pt>
                <c:pt idx="6">
                  <c:v>1</c:v>
                </c:pt>
                <c:pt idx="7">
                  <c:v>0.5</c:v>
                </c:pt>
                <c:pt idx="8">
                  <c:v>0.1</c:v>
                </c:pt>
                <c:pt idx="9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31328"/>
        <c:axId val="140133120"/>
      </c:scatterChart>
      <c:valAx>
        <c:axId val="14013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3120"/>
        <c:crossesAt val="1"/>
        <c:crossBetween val="midCat"/>
      </c:valAx>
      <c:valAx>
        <c:axId val="14013312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minorGridlines/>
        <c:numFmt formatCode="General" sourceLinked="1"/>
        <c:majorTickMark val="in"/>
        <c:minorTickMark val="in"/>
        <c:tickLblPos val="nextTo"/>
        <c:crossAx val="140131328"/>
        <c:crosses val="autoZero"/>
        <c:crossBetween val="midCat"/>
        <c:majorUnit val="10"/>
        <c:min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180975</xdr:rowOff>
    </xdr:from>
    <xdr:to>
      <xdr:col>4</xdr:col>
      <xdr:colOff>466726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11</xdr:row>
      <xdr:rowOff>38100</xdr:rowOff>
    </xdr:from>
    <xdr:to>
      <xdr:col>9</xdr:col>
      <xdr:colOff>466725</xdr:colOff>
      <xdr:row>19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104775</xdr:colOff>
      <xdr:row>11</xdr:row>
      <xdr:rowOff>19050</xdr:rowOff>
    </xdr:from>
    <xdr:to>
      <xdr:col>7</xdr:col>
      <xdr:colOff>190500</xdr:colOff>
      <xdr:row>18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200024</xdr:colOff>
      <xdr:row>53</xdr:row>
      <xdr:rowOff>76200</xdr:rowOff>
    </xdr:from>
    <xdr:to>
      <xdr:col>5</xdr:col>
      <xdr:colOff>400049</xdr:colOff>
      <xdr:row>63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495301</xdr:colOff>
      <xdr:row>31</xdr:row>
      <xdr:rowOff>180975</xdr:rowOff>
    </xdr:from>
    <xdr:to>
      <xdr:col>11</xdr:col>
      <xdr:colOff>342901</xdr:colOff>
      <xdr:row>54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247650</xdr:colOff>
      <xdr:row>20</xdr:row>
      <xdr:rowOff>66675</xdr:rowOff>
    </xdr:from>
    <xdr:to>
      <xdr:col>14</xdr:col>
      <xdr:colOff>285750</xdr:colOff>
      <xdr:row>34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26</xdr:col>
      <xdr:colOff>38100</xdr:colOff>
      <xdr:row>30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76200</xdr:colOff>
      <xdr:row>17</xdr:row>
      <xdr:rowOff>171450</xdr:rowOff>
    </xdr:from>
    <xdr:to>
      <xdr:col>39</xdr:col>
      <xdr:colOff>381000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476250</xdr:colOff>
      <xdr:row>26</xdr:row>
      <xdr:rowOff>9525</xdr:rowOff>
    </xdr:from>
    <xdr:to>
      <xdr:col>41</xdr:col>
      <xdr:colOff>542925</xdr:colOff>
      <xdr:row>45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7</xdr:row>
      <xdr:rowOff>28575</xdr:rowOff>
    </xdr:from>
    <xdr:to>
      <xdr:col>8</xdr:col>
      <xdr:colOff>9525</xdr:colOff>
      <xdr:row>16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37</xdr:row>
      <xdr:rowOff>28575</xdr:rowOff>
    </xdr:from>
    <xdr:to>
      <xdr:col>16</xdr:col>
      <xdr:colOff>257175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17</xdr:row>
      <xdr:rowOff>152400</xdr:rowOff>
    </xdr:from>
    <xdr:to>
      <xdr:col>15</xdr:col>
      <xdr:colOff>104775</xdr:colOff>
      <xdr:row>29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1181101</xdr:colOff>
      <xdr:row>32</xdr:row>
      <xdr:rowOff>66675</xdr:rowOff>
    </xdr:from>
    <xdr:to>
      <xdr:col>21</xdr:col>
      <xdr:colOff>600075</xdr:colOff>
      <xdr:row>57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12</xdr:row>
      <xdr:rowOff>171451</xdr:rowOff>
    </xdr:from>
    <xdr:to>
      <xdr:col>24</xdr:col>
      <xdr:colOff>200024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47625</xdr:colOff>
      <xdr:row>10</xdr:row>
      <xdr:rowOff>47625</xdr:rowOff>
    </xdr:from>
    <xdr:to>
      <xdr:col>16</xdr:col>
      <xdr:colOff>114300</xdr:colOff>
      <xdr:row>23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390525</xdr:colOff>
      <xdr:row>30</xdr:row>
      <xdr:rowOff>47625</xdr:rowOff>
    </xdr:from>
    <xdr:to>
      <xdr:col>30</xdr:col>
      <xdr:colOff>352425</xdr:colOff>
      <xdr:row>44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133350</xdr:rowOff>
    </xdr:from>
    <xdr:to>
      <xdr:col>15</xdr:col>
      <xdr:colOff>542926</xdr:colOff>
      <xdr:row>20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33</xdr:row>
      <xdr:rowOff>180975</xdr:rowOff>
    </xdr:from>
    <xdr:to>
      <xdr:col>5</xdr:col>
      <xdr:colOff>19050</xdr:colOff>
      <xdr:row>46</xdr:row>
      <xdr:rowOff>133349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257175</xdr:colOff>
      <xdr:row>30</xdr:row>
      <xdr:rowOff>66675</xdr:rowOff>
    </xdr:from>
    <xdr:to>
      <xdr:col>14</xdr:col>
      <xdr:colOff>590550</xdr:colOff>
      <xdr:row>42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295275</xdr:colOff>
      <xdr:row>0</xdr:row>
      <xdr:rowOff>0</xdr:rowOff>
    </xdr:from>
    <xdr:to>
      <xdr:col>41</xdr:col>
      <xdr:colOff>104774</xdr:colOff>
      <xdr:row>23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209550</xdr:colOff>
      <xdr:row>15</xdr:row>
      <xdr:rowOff>19050</xdr:rowOff>
    </xdr:from>
    <xdr:to>
      <xdr:col>30</xdr:col>
      <xdr:colOff>485774</xdr:colOff>
      <xdr:row>31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2105025</xdr:colOff>
      <xdr:row>36</xdr:row>
      <xdr:rowOff>171450</xdr:rowOff>
    </xdr:from>
    <xdr:to>
      <xdr:col>10</xdr:col>
      <xdr:colOff>171450</xdr:colOff>
      <xdr:row>51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485776</xdr:colOff>
      <xdr:row>4</xdr:row>
      <xdr:rowOff>190499</xdr:rowOff>
    </xdr:from>
    <xdr:to>
      <xdr:col>25</xdr:col>
      <xdr:colOff>361950</xdr:colOff>
      <xdr:row>23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11</xdr:row>
      <xdr:rowOff>57150</xdr:rowOff>
    </xdr:from>
    <xdr:to>
      <xdr:col>16</xdr:col>
      <xdr:colOff>400050</xdr:colOff>
      <xdr:row>22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352425</xdr:colOff>
      <xdr:row>24</xdr:row>
      <xdr:rowOff>142875</xdr:rowOff>
    </xdr:from>
    <xdr:to>
      <xdr:col>9</xdr:col>
      <xdr:colOff>466725</xdr:colOff>
      <xdr:row>40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11</xdr:row>
      <xdr:rowOff>9525</xdr:rowOff>
    </xdr:from>
    <xdr:to>
      <xdr:col>18</xdr:col>
      <xdr:colOff>342900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15</xdr:row>
      <xdr:rowOff>114300</xdr:rowOff>
    </xdr:from>
    <xdr:to>
      <xdr:col>10</xdr:col>
      <xdr:colOff>104775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14</xdr:col>
      <xdr:colOff>123825</xdr:colOff>
      <xdr:row>58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2</xdr:row>
      <xdr:rowOff>190500</xdr:rowOff>
    </xdr:from>
    <xdr:to>
      <xdr:col>17</xdr:col>
      <xdr:colOff>571500</xdr:colOff>
      <xdr:row>11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552449</xdr:colOff>
      <xdr:row>0</xdr:row>
      <xdr:rowOff>161925</xdr:rowOff>
    </xdr:from>
    <xdr:to>
      <xdr:col>18</xdr:col>
      <xdr:colOff>171448</xdr:colOff>
      <xdr:row>4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285750</xdr:colOff>
      <xdr:row>18</xdr:row>
      <xdr:rowOff>809625</xdr:rowOff>
    </xdr:from>
    <xdr:to>
      <xdr:col>25</xdr:col>
      <xdr:colOff>590550</xdr:colOff>
      <xdr:row>26</xdr:row>
      <xdr:rowOff>257175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161924</xdr:colOff>
      <xdr:row>16</xdr:row>
      <xdr:rowOff>104775</xdr:rowOff>
    </xdr:from>
    <xdr:to>
      <xdr:col>15</xdr:col>
      <xdr:colOff>76199</xdr:colOff>
      <xdr:row>18</xdr:row>
      <xdr:rowOff>742950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21</xdr:row>
      <xdr:rowOff>76200</xdr:rowOff>
    </xdr:from>
    <xdr:to>
      <xdr:col>13</xdr:col>
      <xdr:colOff>1038225</xdr:colOff>
      <xdr:row>29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3</xdr:row>
      <xdr:rowOff>133350</xdr:rowOff>
    </xdr:from>
    <xdr:to>
      <xdr:col>20</xdr:col>
      <xdr:colOff>552450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opLeftCell="F13" workbookViewId="0">
      <selection activeCell="Z42" sqref="Z42"/>
    </sheetView>
  </sheetViews>
  <sheetFormatPr defaultRowHeight="15" x14ac:dyDescent="0.25"/>
  <cols>
    <col min="1" max="1" width="5.42578125" customWidth="1"/>
    <col min="2" max="2" width="11.5703125" customWidth="1"/>
  </cols>
  <sheetData>
    <row r="1" spans="1:31" x14ac:dyDescent="0.25">
      <c r="A1" t="s">
        <v>2</v>
      </c>
    </row>
    <row r="2" spans="1:31" x14ac:dyDescent="0.25">
      <c r="A2" s="1"/>
      <c r="B2" s="1" t="s">
        <v>0</v>
      </c>
      <c r="C2" s="1" t="s">
        <v>1</v>
      </c>
      <c r="D2" t="s">
        <v>4</v>
      </c>
      <c r="E2" s="3" t="s">
        <v>5</v>
      </c>
    </row>
    <row r="3" spans="1:31" x14ac:dyDescent="0.25">
      <c r="A3" s="1">
        <v>1</v>
      </c>
      <c r="B3" s="1">
        <v>10</v>
      </c>
      <c r="C3" s="2">
        <v>96</v>
      </c>
      <c r="D3">
        <f>LOG10(C3)</f>
        <v>1.9822712330395684</v>
      </c>
      <c r="E3">
        <f>LN(C3)</f>
        <v>4.5643481914678361</v>
      </c>
    </row>
    <row r="4" spans="1:31" x14ac:dyDescent="0.25">
      <c r="A4" s="1">
        <v>2</v>
      </c>
      <c r="B4" s="1">
        <v>20</v>
      </c>
      <c r="C4" s="2">
        <v>89</v>
      </c>
      <c r="D4">
        <f t="shared" ref="D4:D9" si="0">LOG10(C4)</f>
        <v>1.9493900066449128</v>
      </c>
      <c r="E4">
        <f t="shared" ref="E4:E9" si="1">LN(C4)</f>
        <v>4.4886363697321396</v>
      </c>
    </row>
    <row r="5" spans="1:31" x14ac:dyDescent="0.25">
      <c r="A5" s="1">
        <v>3</v>
      </c>
      <c r="B5" s="1">
        <v>40</v>
      </c>
      <c r="C5" s="2">
        <v>73</v>
      </c>
      <c r="D5">
        <f t="shared" si="0"/>
        <v>1.8633228601204559</v>
      </c>
      <c r="E5">
        <f t="shared" si="1"/>
        <v>4.290459441148391</v>
      </c>
    </row>
    <row r="6" spans="1:31" x14ac:dyDescent="0.25">
      <c r="A6" s="1">
        <v>4</v>
      </c>
      <c r="B6" s="1">
        <v>60</v>
      </c>
      <c r="C6" s="2">
        <v>57</v>
      </c>
      <c r="D6">
        <f t="shared" si="0"/>
        <v>1.7558748556724915</v>
      </c>
      <c r="E6">
        <f t="shared" si="1"/>
        <v>4.0430512678345503</v>
      </c>
    </row>
    <row r="7" spans="1:31" x14ac:dyDescent="0.25">
      <c r="A7" s="1">
        <v>5</v>
      </c>
      <c r="B7" s="1">
        <v>90</v>
      </c>
      <c r="C7" s="2">
        <v>34</v>
      </c>
      <c r="D7">
        <f t="shared" si="0"/>
        <v>1.5314789170422551</v>
      </c>
      <c r="E7">
        <f t="shared" si="1"/>
        <v>3.5263605246161616</v>
      </c>
      <c r="H7" t="s">
        <v>12</v>
      </c>
    </row>
    <row r="8" spans="1:31" x14ac:dyDescent="0.25">
      <c r="A8" s="1">
        <v>6</v>
      </c>
      <c r="B8" s="1">
        <v>120</v>
      </c>
      <c r="C8" s="2">
        <v>10</v>
      </c>
      <c r="D8">
        <f t="shared" si="0"/>
        <v>1</v>
      </c>
      <c r="E8">
        <f t="shared" si="1"/>
        <v>2.3025850929940459</v>
      </c>
    </row>
    <row r="9" spans="1:31" x14ac:dyDescent="0.25">
      <c r="A9" s="1">
        <v>7</v>
      </c>
      <c r="B9" s="1">
        <v>130</v>
      </c>
      <c r="C9" s="2">
        <v>2.5</v>
      </c>
      <c r="D9">
        <f t="shared" si="0"/>
        <v>0.3979400086720376</v>
      </c>
      <c r="E9">
        <f t="shared" si="1"/>
        <v>0.91629073187415511</v>
      </c>
    </row>
    <row r="10" spans="1:31" x14ac:dyDescent="0.25">
      <c r="A10" t="s">
        <v>3</v>
      </c>
    </row>
    <row r="16" spans="1:31" x14ac:dyDescent="0.25">
      <c r="AD16">
        <v>1</v>
      </c>
      <c r="AE16">
        <v>5000</v>
      </c>
    </row>
    <row r="17" spans="1:31" x14ac:dyDescent="0.25">
      <c r="AD17">
        <v>2</v>
      </c>
      <c r="AE17">
        <v>2000</v>
      </c>
    </row>
    <row r="18" spans="1:31" x14ac:dyDescent="0.25">
      <c r="AD18">
        <v>3</v>
      </c>
      <c r="AE18">
        <v>1000</v>
      </c>
    </row>
    <row r="19" spans="1:31" x14ac:dyDescent="0.25">
      <c r="AD19">
        <v>4</v>
      </c>
      <c r="AE19">
        <v>100</v>
      </c>
    </row>
    <row r="20" spans="1:31" x14ac:dyDescent="0.25">
      <c r="AD20">
        <v>5</v>
      </c>
      <c r="AE20">
        <v>10</v>
      </c>
    </row>
    <row r="21" spans="1:31" x14ac:dyDescent="0.25">
      <c r="A21" t="s">
        <v>6</v>
      </c>
      <c r="AD21">
        <v>6</v>
      </c>
      <c r="AE21">
        <v>4</v>
      </c>
    </row>
    <row r="22" spans="1:31" x14ac:dyDescent="0.25">
      <c r="B22" s="40" t="s">
        <v>13</v>
      </c>
      <c r="C22" t="s">
        <v>14</v>
      </c>
      <c r="D22" s="40" t="s">
        <v>15</v>
      </c>
      <c r="AD22">
        <v>7</v>
      </c>
      <c r="AE22">
        <v>1</v>
      </c>
    </row>
    <row r="23" spans="1:31" x14ac:dyDescent="0.25">
      <c r="A23">
        <v>1</v>
      </c>
      <c r="B23" s="40">
        <v>0.25</v>
      </c>
      <c r="C23">
        <v>8.2100000000000009</v>
      </c>
      <c r="D23" s="40">
        <f>LOG10(C23)</f>
        <v>0.91434315711944081</v>
      </c>
      <c r="AD23">
        <v>8</v>
      </c>
      <c r="AE23">
        <v>0.5</v>
      </c>
    </row>
    <row r="24" spans="1:31" x14ac:dyDescent="0.25">
      <c r="A24">
        <v>2</v>
      </c>
      <c r="B24" s="40">
        <v>0.5</v>
      </c>
      <c r="C24">
        <v>7.87</v>
      </c>
      <c r="D24" s="40">
        <f t="shared" ref="D24:D29" si="2">LOG10(C24)</f>
        <v>0.89597473235906455</v>
      </c>
      <c r="AD24">
        <v>9</v>
      </c>
      <c r="AE24">
        <v>0.1</v>
      </c>
    </row>
    <row r="25" spans="1:31" x14ac:dyDescent="0.25">
      <c r="A25">
        <v>3</v>
      </c>
      <c r="B25" s="40">
        <v>1</v>
      </c>
      <c r="C25">
        <v>7.23</v>
      </c>
      <c r="D25" s="40">
        <f t="shared" si="2"/>
        <v>0.85913829729453084</v>
      </c>
      <c r="AD25">
        <v>10</v>
      </c>
      <c r="AE25">
        <v>0.01</v>
      </c>
    </row>
    <row r="26" spans="1:31" x14ac:dyDescent="0.25">
      <c r="A26">
        <v>4</v>
      </c>
      <c r="B26" s="40">
        <v>3</v>
      </c>
      <c r="C26">
        <v>5.15</v>
      </c>
      <c r="D26" s="40">
        <f t="shared" si="2"/>
        <v>0.71180722904119109</v>
      </c>
    </row>
    <row r="27" spans="1:31" x14ac:dyDescent="0.25">
      <c r="A27">
        <v>5</v>
      </c>
      <c r="B27" s="40">
        <v>6</v>
      </c>
      <c r="C27">
        <v>3.09</v>
      </c>
      <c r="D27" s="40">
        <f t="shared" si="2"/>
        <v>0.48995847942483461</v>
      </c>
    </row>
    <row r="28" spans="1:31" x14ac:dyDescent="0.25">
      <c r="A28">
        <v>6</v>
      </c>
      <c r="B28" s="40">
        <v>12</v>
      </c>
      <c r="C28">
        <v>1.1100000000000001</v>
      </c>
      <c r="D28" s="40">
        <f t="shared" si="2"/>
        <v>4.5322978786657475E-2</v>
      </c>
    </row>
    <row r="29" spans="1:31" x14ac:dyDescent="0.25">
      <c r="A29">
        <v>7</v>
      </c>
      <c r="B29" s="40">
        <v>18</v>
      </c>
      <c r="C29">
        <v>0.4</v>
      </c>
      <c r="D29" s="40">
        <f t="shared" si="2"/>
        <v>-0.3979400086720376</v>
      </c>
    </row>
    <row r="30" spans="1:31" x14ac:dyDescent="0.25">
      <c r="A30" t="s">
        <v>7</v>
      </c>
    </row>
    <row r="31" spans="1:31" x14ac:dyDescent="0.25">
      <c r="B31" t="s">
        <v>9</v>
      </c>
      <c r="C31" t="s">
        <v>10</v>
      </c>
    </row>
    <row r="32" spans="1:31" x14ac:dyDescent="0.25">
      <c r="B32" t="s">
        <v>11</v>
      </c>
      <c r="G32" s="4"/>
    </row>
    <row r="33" spans="1:7" x14ac:dyDescent="0.25">
      <c r="B33" t="s">
        <v>8</v>
      </c>
    </row>
    <row r="36" spans="1:7" x14ac:dyDescent="0.25">
      <c r="A36" t="s">
        <v>85</v>
      </c>
      <c r="C36" t="s">
        <v>83</v>
      </c>
    </row>
    <row r="37" spans="1:7" x14ac:dyDescent="0.25">
      <c r="A37" t="s">
        <v>89</v>
      </c>
      <c r="B37" t="s">
        <v>82</v>
      </c>
      <c r="E37" s="43" t="s">
        <v>93</v>
      </c>
    </row>
    <row r="38" spans="1:7" x14ac:dyDescent="0.25">
      <c r="D38" s="82" t="s">
        <v>84</v>
      </c>
      <c r="E38" s="82"/>
      <c r="F38" s="82"/>
      <c r="G38" s="82"/>
    </row>
    <row r="39" spans="1:7" x14ac:dyDescent="0.25">
      <c r="B39" t="s">
        <v>86</v>
      </c>
    </row>
    <row r="40" spans="1:7" x14ac:dyDescent="0.25">
      <c r="B40" t="s">
        <v>87</v>
      </c>
      <c r="D40" t="s">
        <v>88</v>
      </c>
      <c r="F40">
        <f>2.303*0.074</f>
        <v>0.17042199999999999</v>
      </c>
    </row>
    <row r="42" spans="1:7" x14ac:dyDescent="0.25">
      <c r="A42" t="s">
        <v>90</v>
      </c>
      <c r="B42" s="40" t="s">
        <v>84</v>
      </c>
      <c r="C42" s="40"/>
      <c r="E42" t="s">
        <v>94</v>
      </c>
    </row>
    <row r="43" spans="1:7" x14ac:dyDescent="0.25">
      <c r="B43" s="41" t="s">
        <v>91</v>
      </c>
      <c r="C43" s="41"/>
      <c r="F43" t="s">
        <v>95</v>
      </c>
    </row>
    <row r="44" spans="1:7" x14ac:dyDescent="0.25">
      <c r="B44" s="42" t="s">
        <v>96</v>
      </c>
      <c r="C44" s="42"/>
    </row>
    <row r="45" spans="1:7" x14ac:dyDescent="0.25">
      <c r="B45" s="44" t="s">
        <v>97</v>
      </c>
      <c r="C45" s="41"/>
    </row>
    <row r="46" spans="1:7" x14ac:dyDescent="0.25">
      <c r="B46" s="41">
        <f>LOG10(0.1/100)-2</f>
        <v>-5</v>
      </c>
      <c r="C46" s="41"/>
    </row>
    <row r="47" spans="1:7" x14ac:dyDescent="0.25">
      <c r="B47" s="41" t="s">
        <v>92</v>
      </c>
      <c r="C47" s="41">
        <f>-5/0.74</f>
        <v>-6.756756756756757</v>
      </c>
    </row>
    <row r="48" spans="1:7" x14ac:dyDescent="0.25">
      <c r="B48" s="41"/>
      <c r="C48" s="41"/>
    </row>
    <row r="49" spans="2:3" x14ac:dyDescent="0.25">
      <c r="B49" s="41"/>
      <c r="C49" s="41"/>
    </row>
    <row r="50" spans="2:3" x14ac:dyDescent="0.25">
      <c r="B50" s="41"/>
      <c r="C50" s="41"/>
    </row>
    <row r="51" spans="2:3" x14ac:dyDescent="0.25">
      <c r="B51" s="41"/>
      <c r="C51" s="41"/>
    </row>
    <row r="52" spans="2:3" x14ac:dyDescent="0.25">
      <c r="B52" s="41"/>
      <c r="C52" s="41"/>
    </row>
  </sheetData>
  <mergeCells count="1">
    <mergeCell ref="D38:G3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"/>
  <sheetViews>
    <sheetView topLeftCell="A32" workbookViewId="0">
      <selection activeCell="P17" sqref="P17"/>
    </sheetView>
  </sheetViews>
  <sheetFormatPr defaultRowHeight="15" x14ac:dyDescent="0.25"/>
  <cols>
    <col min="1" max="1" width="11.140625" customWidth="1"/>
    <col min="2" max="2" width="17.85546875" customWidth="1"/>
    <col min="3" max="3" width="5.28515625" customWidth="1"/>
    <col min="4" max="4" width="6.28515625" customWidth="1"/>
    <col min="5" max="5" width="5.85546875" customWidth="1"/>
    <col min="6" max="6" width="6.140625" customWidth="1"/>
    <col min="7" max="7" width="5.7109375" customWidth="1"/>
    <col min="8" max="8" width="5" customWidth="1"/>
    <col min="9" max="9" width="7.140625" customWidth="1"/>
    <col min="10" max="10" width="5.28515625" customWidth="1"/>
    <col min="11" max="11" width="5.140625" customWidth="1"/>
    <col min="12" max="12" width="5" customWidth="1"/>
    <col min="13" max="13" width="5.140625" customWidth="1"/>
    <col min="14" max="14" width="5.42578125" customWidth="1"/>
    <col min="15" max="15" width="5.28515625" customWidth="1"/>
    <col min="16" max="16" width="5" customWidth="1"/>
    <col min="17" max="17" width="5.140625" customWidth="1"/>
    <col min="18" max="18" width="5.42578125" customWidth="1"/>
  </cols>
  <sheetData>
    <row r="1" spans="1:46" ht="30" x14ac:dyDescent="0.4">
      <c r="B1" s="7" t="s">
        <v>19</v>
      </c>
    </row>
    <row r="2" spans="1:46" x14ac:dyDescent="0.25">
      <c r="B2" s="8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x14ac:dyDescent="0.25">
      <c r="B3" s="10" t="s">
        <v>21</v>
      </c>
    </row>
    <row r="5" spans="1:46" ht="15.75" x14ac:dyDescent="0.25">
      <c r="A5" s="5" t="s">
        <v>16</v>
      </c>
      <c r="B5" s="6">
        <v>2</v>
      </c>
      <c r="C5" s="6">
        <v>4</v>
      </c>
      <c r="D5" s="6">
        <v>6</v>
      </c>
      <c r="E5" s="6">
        <v>8</v>
      </c>
      <c r="F5" s="6">
        <v>12</v>
      </c>
      <c r="G5" s="6">
        <v>16</v>
      </c>
      <c r="H5" s="6">
        <v>20</v>
      </c>
      <c r="I5" s="6">
        <v>24</v>
      </c>
    </row>
    <row r="6" spans="1:46" ht="15.75" x14ac:dyDescent="0.25">
      <c r="A6" s="5" t="s">
        <v>17</v>
      </c>
      <c r="B6" s="6">
        <v>37</v>
      </c>
      <c r="C6" s="6">
        <v>65</v>
      </c>
      <c r="D6" s="6">
        <v>83</v>
      </c>
      <c r="E6" s="6">
        <v>97</v>
      </c>
      <c r="F6" s="6">
        <v>113</v>
      </c>
      <c r="G6" s="6">
        <v>122</v>
      </c>
      <c r="H6" s="6">
        <v>128</v>
      </c>
      <c r="I6" s="6">
        <v>130</v>
      </c>
    </row>
    <row r="7" spans="1:46" x14ac:dyDescent="0.25">
      <c r="A7" t="s">
        <v>18</v>
      </c>
      <c r="B7">
        <f>LOG10(B6)</f>
        <v>1.568201724066995</v>
      </c>
      <c r="C7">
        <f t="shared" ref="C7:I7" si="0">LOG10(C6)</f>
        <v>1.8129133566428555</v>
      </c>
      <c r="D7">
        <f t="shared" si="0"/>
        <v>1.919078092376074</v>
      </c>
      <c r="E7">
        <f t="shared" si="0"/>
        <v>1.9867717342662448</v>
      </c>
      <c r="F7">
        <f t="shared" si="0"/>
        <v>2.0530784434834195</v>
      </c>
      <c r="G7">
        <f t="shared" si="0"/>
        <v>2.0863598306747484</v>
      </c>
      <c r="H7">
        <f t="shared" si="0"/>
        <v>2.1072099696478683</v>
      </c>
      <c r="I7">
        <f t="shared" si="0"/>
        <v>2.1139433523068369</v>
      </c>
    </row>
    <row r="24" spans="1:8" x14ac:dyDescent="0.25">
      <c r="A24">
        <v>2</v>
      </c>
      <c r="B24" s="8" t="s">
        <v>22</v>
      </c>
    </row>
    <row r="25" spans="1:8" x14ac:dyDescent="0.25">
      <c r="B25" s="11" t="s">
        <v>23</v>
      </c>
      <c r="C25" s="11">
        <v>0</v>
      </c>
      <c r="D25" s="11">
        <v>2</v>
      </c>
      <c r="E25" s="11">
        <v>4</v>
      </c>
      <c r="F25" s="11">
        <v>6</v>
      </c>
      <c r="G25" s="11">
        <v>8</v>
      </c>
    </row>
    <row r="26" spans="1:8" x14ac:dyDescent="0.25">
      <c r="B26" s="11" t="s">
        <v>17</v>
      </c>
      <c r="C26" s="11">
        <v>0</v>
      </c>
      <c r="D26" s="11">
        <v>37</v>
      </c>
      <c r="E26" s="11">
        <v>65</v>
      </c>
      <c r="F26" s="11">
        <v>83</v>
      </c>
      <c r="G26" s="11">
        <v>97</v>
      </c>
      <c r="H26" s="12"/>
    </row>
    <row r="27" spans="1:8" x14ac:dyDescent="0.25">
      <c r="B27" s="13" t="s">
        <v>24</v>
      </c>
      <c r="C27" s="12"/>
      <c r="D27" s="12"/>
      <c r="E27" s="12"/>
      <c r="F27" s="12"/>
      <c r="G27" s="12"/>
      <c r="H27" s="12"/>
    </row>
    <row r="28" spans="1:8" x14ac:dyDescent="0.25">
      <c r="B28" t="s">
        <v>25</v>
      </c>
    </row>
    <row r="31" spans="1:8" x14ac:dyDescent="0.25">
      <c r="B31" t="s">
        <v>26</v>
      </c>
    </row>
    <row r="32" spans="1:8" x14ac:dyDescent="0.25">
      <c r="C32" t="s">
        <v>27</v>
      </c>
    </row>
    <row r="34" spans="2:18" x14ac:dyDescent="0.25">
      <c r="B34" t="s">
        <v>28</v>
      </c>
      <c r="C34">
        <v>0</v>
      </c>
      <c r="D34">
        <v>1</v>
      </c>
      <c r="E34">
        <v>2</v>
      </c>
      <c r="F34">
        <v>3</v>
      </c>
      <c r="G34">
        <v>4</v>
      </c>
      <c r="H34">
        <v>5</v>
      </c>
      <c r="I34">
        <v>6</v>
      </c>
      <c r="J34">
        <v>7</v>
      </c>
      <c r="K34">
        <v>8</v>
      </c>
      <c r="L34">
        <v>9</v>
      </c>
      <c r="M34">
        <v>10</v>
      </c>
      <c r="N34">
        <v>11</v>
      </c>
      <c r="O34">
        <v>12</v>
      </c>
      <c r="P34">
        <v>13</v>
      </c>
      <c r="Q34">
        <v>14</v>
      </c>
      <c r="R34">
        <v>15</v>
      </c>
    </row>
    <row r="35" spans="2:18" x14ac:dyDescent="0.25">
      <c r="B35" t="s">
        <v>29</v>
      </c>
      <c r="C35">
        <v>0</v>
      </c>
      <c r="D35">
        <v>1.81</v>
      </c>
      <c r="E35">
        <v>3.3</v>
      </c>
      <c r="F35">
        <v>2.7</v>
      </c>
      <c r="G35">
        <v>2.21</v>
      </c>
      <c r="H35">
        <v>1.81</v>
      </c>
      <c r="I35">
        <v>1.48</v>
      </c>
      <c r="J35">
        <v>1.21</v>
      </c>
      <c r="K35">
        <v>0.99</v>
      </c>
      <c r="L35">
        <v>0.81</v>
      </c>
      <c r="M35">
        <v>0.67</v>
      </c>
      <c r="N35">
        <v>0.55000000000000004</v>
      </c>
      <c r="O35">
        <v>0.45</v>
      </c>
      <c r="P35">
        <v>0.37</v>
      </c>
      <c r="Q35">
        <v>0.3</v>
      </c>
      <c r="R35">
        <v>0.25</v>
      </c>
    </row>
    <row r="36" spans="2:18" x14ac:dyDescent="0.25">
      <c r="B36" t="s">
        <v>30</v>
      </c>
      <c r="M36">
        <v>0</v>
      </c>
      <c r="N36">
        <v>1.81</v>
      </c>
      <c r="O36">
        <v>3.3</v>
      </c>
      <c r="P36">
        <v>2.7</v>
      </c>
      <c r="Q36">
        <v>2.21</v>
      </c>
      <c r="R36">
        <v>1.81</v>
      </c>
    </row>
    <row r="37" spans="2:18" x14ac:dyDescent="0.25">
      <c r="B37" t="s">
        <v>31</v>
      </c>
      <c r="C37">
        <v>0</v>
      </c>
      <c r="D37">
        <v>1.81</v>
      </c>
      <c r="E37">
        <v>3.3</v>
      </c>
      <c r="F37">
        <v>2.7</v>
      </c>
      <c r="G37">
        <v>2.21</v>
      </c>
      <c r="H37">
        <v>1.81</v>
      </c>
      <c r="I37">
        <v>1.48</v>
      </c>
      <c r="J37">
        <v>1.21</v>
      </c>
      <c r="K37">
        <v>0.99</v>
      </c>
      <c r="L37">
        <v>0.81</v>
      </c>
      <c r="M37">
        <v>0.67</v>
      </c>
      <c r="N37">
        <v>2.36</v>
      </c>
      <c r="O37">
        <v>3.74</v>
      </c>
      <c r="P37">
        <v>3.07</v>
      </c>
      <c r="Q37">
        <v>2.5099999999999998</v>
      </c>
      <c r="R37">
        <v>2.06</v>
      </c>
    </row>
    <row r="54" spans="1:16" x14ac:dyDescent="0.25">
      <c r="A54">
        <v>198</v>
      </c>
      <c r="B54" t="s">
        <v>32</v>
      </c>
      <c r="N54" t="s">
        <v>35</v>
      </c>
      <c r="P54" t="s">
        <v>36</v>
      </c>
    </row>
    <row r="55" spans="1:16" x14ac:dyDescent="0.25">
      <c r="B55" t="s">
        <v>33</v>
      </c>
    </row>
    <row r="56" spans="1:16" x14ac:dyDescent="0.25">
      <c r="C56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A28" workbookViewId="0">
      <selection activeCell="Q28" sqref="Q28"/>
    </sheetView>
  </sheetViews>
  <sheetFormatPr defaultRowHeight="15" x14ac:dyDescent="0.25"/>
  <cols>
    <col min="1" max="1" width="31.42578125" customWidth="1"/>
    <col min="2" max="2" width="5.85546875" customWidth="1"/>
    <col min="3" max="3" width="6.140625" customWidth="1"/>
    <col min="4" max="4" width="6.85546875" customWidth="1"/>
    <col min="5" max="5" width="5.85546875" customWidth="1"/>
    <col min="6" max="7" width="6" customWidth="1"/>
    <col min="8" max="8" width="6.42578125" customWidth="1"/>
    <col min="9" max="9" width="6.7109375" customWidth="1"/>
    <col min="10" max="10" width="5.7109375" customWidth="1"/>
    <col min="11" max="11" width="5.5703125" customWidth="1"/>
    <col min="12" max="12" width="5.140625" customWidth="1"/>
    <col min="13" max="14" width="5.7109375" customWidth="1"/>
    <col min="15" max="15" width="5.85546875" customWidth="1"/>
    <col min="16" max="16" width="5.28515625" customWidth="1"/>
    <col min="17" max="17" width="5.7109375" customWidth="1"/>
    <col min="18" max="18" width="5.140625" customWidth="1"/>
    <col min="19" max="19" width="5.42578125" customWidth="1"/>
    <col min="20" max="20" width="4.7109375" customWidth="1"/>
    <col min="21" max="21" width="5.7109375" customWidth="1"/>
    <col min="25" max="25" width="5.140625" customWidth="1"/>
  </cols>
  <sheetData>
    <row r="1" spans="1:28" x14ac:dyDescent="0.25">
      <c r="A1" t="s">
        <v>72</v>
      </c>
    </row>
    <row r="2" spans="1:28" ht="18.75" x14ac:dyDescent="0.3">
      <c r="A2" s="34" t="s">
        <v>57</v>
      </c>
    </row>
    <row r="3" spans="1:28" x14ac:dyDescent="0.25">
      <c r="A3" s="31" t="s">
        <v>28</v>
      </c>
      <c r="B3" s="31">
        <v>0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12</v>
      </c>
      <c r="N3" s="31">
        <v>14</v>
      </c>
      <c r="O3" s="31">
        <v>16</v>
      </c>
      <c r="P3" s="31">
        <v>18</v>
      </c>
      <c r="Q3" s="31">
        <v>24</v>
      </c>
      <c r="R3" s="31">
        <v>28</v>
      </c>
      <c r="S3" s="31">
        <v>32</v>
      </c>
      <c r="T3" s="31">
        <v>36</v>
      </c>
      <c r="U3" s="31">
        <v>48</v>
      </c>
    </row>
    <row r="4" spans="1:28" x14ac:dyDescent="0.25">
      <c r="A4" s="31" t="s">
        <v>58</v>
      </c>
      <c r="B4" s="32">
        <v>0</v>
      </c>
      <c r="C4" s="32">
        <v>3.13</v>
      </c>
      <c r="D4" s="32">
        <v>4.93</v>
      </c>
      <c r="E4" s="32">
        <v>5.86</v>
      </c>
      <c r="F4" s="32">
        <v>6.25</v>
      </c>
      <c r="G4" s="32">
        <v>6.28</v>
      </c>
      <c r="H4" s="32">
        <v>6.11</v>
      </c>
      <c r="I4" s="32">
        <v>5.81</v>
      </c>
      <c r="J4" s="32">
        <v>5.45</v>
      </c>
      <c r="K4" s="32">
        <v>5.66</v>
      </c>
      <c r="L4" s="32">
        <v>4.66</v>
      </c>
      <c r="M4" s="32">
        <v>3.9</v>
      </c>
      <c r="N4" s="32">
        <v>3.24</v>
      </c>
      <c r="O4" s="32">
        <v>2.67</v>
      </c>
      <c r="P4" s="32">
        <v>2.19</v>
      </c>
      <c r="Q4" s="32">
        <v>1.2</v>
      </c>
      <c r="R4" s="32">
        <v>0.81</v>
      </c>
      <c r="S4" s="32">
        <v>0.54</v>
      </c>
      <c r="T4" s="32">
        <v>0.36</v>
      </c>
      <c r="U4" s="32">
        <v>0.1</v>
      </c>
      <c r="V4" s="14"/>
    </row>
    <row r="5" spans="1:28" ht="18.75" x14ac:dyDescent="0.3">
      <c r="A5" s="34" t="s">
        <v>59</v>
      </c>
      <c r="Z5">
        <f>AB5</f>
        <v>0</v>
      </c>
    </row>
    <row r="6" spans="1:28" ht="18.75" x14ac:dyDescent="0.3">
      <c r="A6" s="34" t="s">
        <v>25</v>
      </c>
    </row>
    <row r="7" spans="1:28" x14ac:dyDescent="0.25">
      <c r="A7" s="35" t="s">
        <v>28</v>
      </c>
      <c r="B7" s="35">
        <v>0</v>
      </c>
      <c r="C7" s="35">
        <v>1</v>
      </c>
      <c r="D7" s="35">
        <v>2</v>
      </c>
      <c r="E7" s="35">
        <v>3</v>
      </c>
      <c r="F7" s="35">
        <v>4</v>
      </c>
      <c r="G7" s="35">
        <v>5</v>
      </c>
      <c r="H7" s="35">
        <v>6</v>
      </c>
      <c r="I7" s="35">
        <v>7</v>
      </c>
      <c r="J7" s="35">
        <v>8</v>
      </c>
      <c r="K7" s="35">
        <v>9</v>
      </c>
      <c r="L7" s="35">
        <v>10</v>
      </c>
      <c r="M7" s="35">
        <v>12</v>
      </c>
      <c r="N7" s="35">
        <v>14</v>
      </c>
      <c r="O7" s="35">
        <v>16</v>
      </c>
      <c r="P7" s="35">
        <v>18</v>
      </c>
      <c r="Q7" s="35">
        <v>24</v>
      </c>
      <c r="R7" s="35">
        <v>28</v>
      </c>
      <c r="S7" s="35">
        <v>32</v>
      </c>
      <c r="T7" s="35">
        <v>36</v>
      </c>
      <c r="U7" s="35">
        <v>48</v>
      </c>
    </row>
    <row r="8" spans="1:28" x14ac:dyDescent="0.25">
      <c r="A8" s="35" t="s">
        <v>58</v>
      </c>
      <c r="B8" s="36">
        <v>0</v>
      </c>
      <c r="C8" s="36">
        <v>3.13</v>
      </c>
      <c r="D8" s="36">
        <v>4.93</v>
      </c>
      <c r="E8" s="36">
        <v>5.86</v>
      </c>
      <c r="F8" s="36">
        <v>6.25</v>
      </c>
      <c r="G8" s="36">
        <v>6.28</v>
      </c>
      <c r="H8" s="36">
        <v>6.11</v>
      </c>
      <c r="I8" s="36">
        <v>5.81</v>
      </c>
      <c r="J8" s="36">
        <v>5.45</v>
      </c>
      <c r="K8" s="36">
        <v>5.0599999999999996</v>
      </c>
      <c r="L8" s="36">
        <v>4.66</v>
      </c>
      <c r="M8" s="36">
        <v>3.9</v>
      </c>
      <c r="N8" s="36">
        <v>3.24</v>
      </c>
      <c r="O8" s="36">
        <v>2.67</v>
      </c>
      <c r="P8" s="36">
        <v>2.19</v>
      </c>
      <c r="Q8" s="36">
        <v>1.2</v>
      </c>
      <c r="R8" s="36">
        <v>0.81</v>
      </c>
      <c r="S8" s="36">
        <v>0.54</v>
      </c>
      <c r="T8" s="36">
        <v>0.36</v>
      </c>
      <c r="U8" s="36">
        <v>0.1</v>
      </c>
      <c r="V8" s="14"/>
    </row>
    <row r="9" spans="1:28" x14ac:dyDescent="0.25">
      <c r="A9" s="30" t="s">
        <v>18</v>
      </c>
      <c r="B9" s="33" t="s">
        <v>79</v>
      </c>
      <c r="C9" s="33">
        <f t="shared" ref="C9:U9" si="0">LOG10(C8)</f>
        <v>0.49554433754644844</v>
      </c>
      <c r="D9" s="33">
        <f t="shared" si="0"/>
        <v>0.69284691927722997</v>
      </c>
      <c r="E9" s="33">
        <f t="shared" si="0"/>
        <v>0.7678976160180907</v>
      </c>
      <c r="F9" s="33">
        <f t="shared" si="0"/>
        <v>0.79588001734407521</v>
      </c>
      <c r="G9" s="33">
        <f t="shared" si="0"/>
        <v>0.79795964373719619</v>
      </c>
      <c r="H9" s="33">
        <f t="shared" si="0"/>
        <v>0.78604121024255424</v>
      </c>
      <c r="I9" s="33">
        <f t="shared" si="0"/>
        <v>0.76417613239033066</v>
      </c>
      <c r="J9" s="33">
        <f t="shared" si="0"/>
        <v>0.73639650227664244</v>
      </c>
      <c r="K9" s="33">
        <f t="shared" si="0"/>
        <v>0.70415051683979912</v>
      </c>
      <c r="L9" s="33">
        <f t="shared" si="0"/>
        <v>0.66838591669000014</v>
      </c>
      <c r="M9" s="33">
        <f t="shared" si="0"/>
        <v>0.59106460702649921</v>
      </c>
      <c r="N9" s="33">
        <f t="shared" si="0"/>
        <v>0.51054501020661214</v>
      </c>
      <c r="O9" s="33">
        <f t="shared" si="0"/>
        <v>0.42651126136457523</v>
      </c>
      <c r="P9" s="33">
        <f t="shared" si="0"/>
        <v>0.34044411484011833</v>
      </c>
      <c r="Q9" s="33">
        <f t="shared" si="0"/>
        <v>7.9181246047624818E-2</v>
      </c>
      <c r="R9" s="33">
        <f t="shared" si="0"/>
        <v>-9.1514981121350217E-2</v>
      </c>
      <c r="S9" s="33">
        <f t="shared" si="0"/>
        <v>-0.26760624017703144</v>
      </c>
      <c r="T9" s="33">
        <f t="shared" si="0"/>
        <v>-0.44369749923271273</v>
      </c>
      <c r="U9" s="33">
        <f t="shared" si="0"/>
        <v>-1</v>
      </c>
    </row>
    <row r="10" spans="1:28" x14ac:dyDescent="0.25">
      <c r="A10" s="30" t="s">
        <v>80</v>
      </c>
      <c r="B10" s="27">
        <f t="shared" ref="B10:T10" si="1">(-0.044*B7)+1.13</f>
        <v>1.1299999999999999</v>
      </c>
      <c r="C10" s="27">
        <f t="shared" si="1"/>
        <v>1.0859999999999999</v>
      </c>
      <c r="D10" s="27">
        <f t="shared" si="1"/>
        <v>1.0419999999999998</v>
      </c>
      <c r="E10" s="27">
        <f t="shared" si="1"/>
        <v>0.99799999999999989</v>
      </c>
      <c r="F10" s="27">
        <f t="shared" si="1"/>
        <v>0.95399999999999996</v>
      </c>
      <c r="G10" s="27">
        <f t="shared" si="1"/>
        <v>0.90999999999999992</v>
      </c>
      <c r="H10" s="27">
        <f t="shared" si="1"/>
        <v>0.86599999999999988</v>
      </c>
      <c r="I10" s="27">
        <f t="shared" si="1"/>
        <v>0.82199999999999984</v>
      </c>
      <c r="J10" s="27">
        <f t="shared" si="1"/>
        <v>0.77799999999999991</v>
      </c>
      <c r="K10" s="38">
        <f t="shared" si="1"/>
        <v>0.73399999999999999</v>
      </c>
      <c r="L10" s="38">
        <f t="shared" si="1"/>
        <v>0.69</v>
      </c>
      <c r="M10" s="38">
        <f t="shared" si="1"/>
        <v>0.60199999999999987</v>
      </c>
      <c r="N10" s="38">
        <f t="shared" si="1"/>
        <v>0.5139999999999999</v>
      </c>
      <c r="O10" s="38">
        <f t="shared" si="1"/>
        <v>0.42599999999999993</v>
      </c>
      <c r="P10" s="38">
        <f t="shared" si="1"/>
        <v>0.33799999999999997</v>
      </c>
      <c r="Q10" s="38">
        <f t="shared" si="1"/>
        <v>7.3999999999999844E-2</v>
      </c>
      <c r="R10" s="38">
        <f t="shared" si="1"/>
        <v>-0.10200000000000009</v>
      </c>
      <c r="S10" s="38">
        <f t="shared" si="1"/>
        <v>-0.27800000000000002</v>
      </c>
      <c r="T10" s="38">
        <f t="shared" si="1"/>
        <v>-0.45399999999999996</v>
      </c>
      <c r="U10" s="38">
        <f>(-0.044*U7)+1.13</f>
        <v>-0.98200000000000021</v>
      </c>
      <c r="V10" s="37" t="s">
        <v>73</v>
      </c>
      <c r="W10" s="37"/>
      <c r="X10" s="29" t="s">
        <v>75</v>
      </c>
      <c r="Y10" t="s">
        <v>78</v>
      </c>
      <c r="Z10">
        <f>(-0.044)*(-2.303)</f>
        <v>0.10133199999999999</v>
      </c>
      <c r="AB10">
        <f>500/550</f>
        <v>0.90909090909090906</v>
      </c>
    </row>
    <row r="11" spans="1:28" x14ac:dyDescent="0.25">
      <c r="A11" s="30" t="s">
        <v>81</v>
      </c>
      <c r="B11">
        <f>POWER(10,B10)</f>
        <v>13.489628825916535</v>
      </c>
      <c r="C11">
        <f>POWER(10,C10)</f>
        <v>12.189895989248667</v>
      </c>
      <c r="D11">
        <f>POWER(10,D10)</f>
        <v>11.015393095414149</v>
      </c>
      <c r="AB11">
        <f>11*50</f>
        <v>550</v>
      </c>
    </row>
    <row r="12" spans="1:28" x14ac:dyDescent="0.25">
      <c r="A12" s="30" t="s">
        <v>62</v>
      </c>
      <c r="B12" s="14">
        <f>B11-B8</f>
        <v>13.489628825916535</v>
      </c>
      <c r="C12" s="14">
        <f>C11-C8</f>
        <v>9.0598959892486661</v>
      </c>
      <c r="D12" s="14">
        <f>D11-D8</f>
        <v>6.0853930954141493</v>
      </c>
      <c r="V12" t="s">
        <v>74</v>
      </c>
      <c r="X12" s="29" t="s">
        <v>76</v>
      </c>
      <c r="Y12" t="s">
        <v>77</v>
      </c>
      <c r="Z12">
        <f>(-0.172)*(-2.303)</f>
        <v>0.39611599999999997</v>
      </c>
    </row>
    <row r="13" spans="1:28" x14ac:dyDescent="0.25">
      <c r="A13" s="39" t="s">
        <v>63</v>
      </c>
      <c r="B13" s="39">
        <f>LOG10(B12)</f>
        <v>1.1299999999999999</v>
      </c>
      <c r="C13" s="39">
        <f>LOG10(C12)</f>
        <v>0.95712321185400373</v>
      </c>
      <c r="D13" s="39">
        <f>LOG10(D12)</f>
        <v>0.78428863739848687</v>
      </c>
      <c r="E13" s="83" t="s">
        <v>74</v>
      </c>
      <c r="F13" s="83"/>
      <c r="G13" s="83"/>
    </row>
    <row r="18" spans="1:18" x14ac:dyDescent="0.25">
      <c r="A18" t="s">
        <v>56</v>
      </c>
    </row>
    <row r="19" spans="1:18" x14ac:dyDescent="0.25">
      <c r="A19" t="s">
        <v>57</v>
      </c>
    </row>
    <row r="20" spans="1:18" x14ac:dyDescent="0.25">
      <c r="A20" t="s">
        <v>28</v>
      </c>
      <c r="B20" s="14">
        <v>0.25</v>
      </c>
      <c r="C20" s="14">
        <v>0.5</v>
      </c>
      <c r="D20" s="14">
        <v>0.75</v>
      </c>
      <c r="E20" s="14">
        <v>1</v>
      </c>
      <c r="F20" s="14">
        <v>2</v>
      </c>
      <c r="G20" s="14">
        <v>4</v>
      </c>
      <c r="H20" s="14">
        <v>6</v>
      </c>
      <c r="I20" s="14">
        <v>10</v>
      </c>
      <c r="J20" s="14">
        <v>14</v>
      </c>
      <c r="K20" s="14">
        <v>20</v>
      </c>
    </row>
    <row r="21" spans="1:18" x14ac:dyDescent="0.25">
      <c r="A21" t="s">
        <v>58</v>
      </c>
      <c r="B21" s="14">
        <v>2.85</v>
      </c>
      <c r="C21" s="14">
        <v>5.43</v>
      </c>
      <c r="D21" s="14">
        <v>7.75</v>
      </c>
      <c r="E21" s="14">
        <v>9.84</v>
      </c>
      <c r="F21" s="14">
        <v>16.2</v>
      </c>
      <c r="G21" s="14">
        <v>22.15</v>
      </c>
      <c r="H21" s="14">
        <v>23.01</v>
      </c>
      <c r="I21" s="14">
        <v>19.09</v>
      </c>
      <c r="J21" s="14">
        <v>13.9</v>
      </c>
      <c r="K21" s="14">
        <v>7.97</v>
      </c>
    </row>
    <row r="22" spans="1:18" x14ac:dyDescent="0.25">
      <c r="A22" t="s">
        <v>59</v>
      </c>
    </row>
    <row r="23" spans="1:18" x14ac:dyDescent="0.25">
      <c r="A23" t="s">
        <v>25</v>
      </c>
    </row>
    <row r="24" spans="1:18" x14ac:dyDescent="0.25">
      <c r="A24" t="s">
        <v>28</v>
      </c>
      <c r="B24" s="64">
        <v>0.25</v>
      </c>
      <c r="C24" s="64">
        <v>0.5</v>
      </c>
      <c r="D24" s="64">
        <v>0.75</v>
      </c>
      <c r="E24" s="64">
        <v>1</v>
      </c>
      <c r="F24" s="64">
        <v>2</v>
      </c>
      <c r="G24" s="64">
        <v>4</v>
      </c>
      <c r="H24" s="64">
        <v>6</v>
      </c>
      <c r="I24" s="64">
        <v>10</v>
      </c>
      <c r="J24" s="64">
        <v>14</v>
      </c>
      <c r="K24" s="64">
        <v>20</v>
      </c>
    </row>
    <row r="25" spans="1:18" x14ac:dyDescent="0.25">
      <c r="A25" t="s">
        <v>58</v>
      </c>
      <c r="B25" s="64">
        <v>2.85</v>
      </c>
      <c r="C25" s="64">
        <v>5.43</v>
      </c>
      <c r="D25" s="64">
        <v>7.75</v>
      </c>
      <c r="E25" s="64">
        <v>9.84</v>
      </c>
      <c r="F25" s="64">
        <v>16.2</v>
      </c>
      <c r="G25" s="64">
        <v>22.15</v>
      </c>
      <c r="H25" s="64">
        <v>23.01</v>
      </c>
      <c r="I25" s="64">
        <v>19.09</v>
      </c>
      <c r="J25" s="64">
        <v>13.9</v>
      </c>
      <c r="K25" s="64">
        <v>7.97</v>
      </c>
    </row>
    <row r="26" spans="1:18" x14ac:dyDescent="0.25">
      <c r="A26" t="s">
        <v>153</v>
      </c>
      <c r="B26">
        <f>LOG10(B25)</f>
        <v>0.45484486000851021</v>
      </c>
      <c r="C26">
        <f t="shared" ref="C26:K26" si="2">LOG10(C25)</f>
        <v>0.73479982958884693</v>
      </c>
      <c r="D26">
        <f t="shared" si="2"/>
        <v>0.88930170250631024</v>
      </c>
      <c r="E26">
        <f t="shared" si="2"/>
        <v>0.99299509843134148</v>
      </c>
      <c r="F26">
        <f t="shared" si="2"/>
        <v>1.209515014542631</v>
      </c>
      <c r="G26">
        <f t="shared" si="2"/>
        <v>1.3453737305590883</v>
      </c>
      <c r="H26">
        <f t="shared" si="2"/>
        <v>1.3619166186686433</v>
      </c>
      <c r="I26" s="23">
        <f t="shared" si="2"/>
        <v>1.2808059283936668</v>
      </c>
      <c r="J26" s="23">
        <f t="shared" si="2"/>
        <v>1.1430148002540952</v>
      </c>
      <c r="K26" s="23">
        <f t="shared" si="2"/>
        <v>0.90145832139611237</v>
      </c>
      <c r="M26" t="s">
        <v>154</v>
      </c>
    </row>
    <row r="27" spans="1:18" x14ac:dyDescent="0.25">
      <c r="A27" t="s">
        <v>157</v>
      </c>
      <c r="B27" s="27">
        <f t="shared" ref="B27:G27" si="3">(-0.038*B24)+1.667</f>
        <v>1.6575</v>
      </c>
      <c r="C27" s="27">
        <f t="shared" si="3"/>
        <v>1.6480000000000001</v>
      </c>
      <c r="D27" s="27">
        <f t="shared" si="3"/>
        <v>1.6385000000000001</v>
      </c>
      <c r="E27" s="27">
        <f t="shared" si="3"/>
        <v>1.629</v>
      </c>
      <c r="F27" s="27">
        <f t="shared" si="3"/>
        <v>1.591</v>
      </c>
      <c r="G27" s="27">
        <f t="shared" si="3"/>
        <v>1.5150000000000001</v>
      </c>
      <c r="H27" s="27">
        <f>(-0.038*H24)+1.667</f>
        <v>1.4390000000000001</v>
      </c>
      <c r="I27" s="27">
        <v>1.2809999999999999</v>
      </c>
      <c r="J27" s="27">
        <v>1.143</v>
      </c>
      <c r="K27" s="27">
        <v>0.90149999999999997</v>
      </c>
      <c r="L27" s="27" t="s">
        <v>60</v>
      </c>
      <c r="O27" s="84" t="s">
        <v>155</v>
      </c>
      <c r="P27" s="84"/>
      <c r="Q27" s="84"/>
      <c r="R27" s="84"/>
    </row>
    <row r="28" spans="1:18" x14ac:dyDescent="0.25">
      <c r="A28" t="s">
        <v>161</v>
      </c>
      <c r="B28" s="22">
        <f>POWER(10,B27)</f>
        <v>45.446453720950878</v>
      </c>
      <c r="C28" s="22">
        <f>POWER(10,C27)</f>
        <v>44.463126746910895</v>
      </c>
      <c r="D28" s="22">
        <f>POWER(10,D27)</f>
        <v>43.501076063069725</v>
      </c>
      <c r="E28" s="22">
        <f>POWER(10,E27)</f>
        <v>42.559841313374314</v>
      </c>
    </row>
    <row r="29" spans="1:18" x14ac:dyDescent="0.25">
      <c r="A29" t="s">
        <v>158</v>
      </c>
      <c r="B29" s="14">
        <f>B28-B25</f>
        <v>42.596453720950876</v>
      </c>
      <c r="C29" s="14">
        <f>C28-C25</f>
        <v>39.033126746910895</v>
      </c>
      <c r="D29" s="14">
        <f>D28-D25</f>
        <v>35.751076063069725</v>
      </c>
      <c r="E29" s="14">
        <f>E28-E25</f>
        <v>32.719841313374317</v>
      </c>
    </row>
    <row r="30" spans="1:18" ht="21" x14ac:dyDescent="0.35">
      <c r="A30" t="s">
        <v>63</v>
      </c>
      <c r="B30" s="65">
        <f>LOG10(B29)</f>
        <v>1.6293734443250034</v>
      </c>
      <c r="C30" s="65">
        <f>LOG10(C29)</f>
        <v>1.5914333418151929</v>
      </c>
      <c r="D30" s="65">
        <f>LOG10(D29)</f>
        <v>1.5532891180593453</v>
      </c>
      <c r="E30" s="65">
        <f>LOG10(E29)</f>
        <v>1.5148111887372742</v>
      </c>
      <c r="F30" s="65">
        <f t="shared" ref="F30:K30" si="4">-0.152*F24+1.667</f>
        <v>1.363</v>
      </c>
      <c r="G30" s="65">
        <f t="shared" si="4"/>
        <v>1.0590000000000002</v>
      </c>
      <c r="H30" s="65">
        <f t="shared" si="4"/>
        <v>0.75500000000000012</v>
      </c>
      <c r="I30" s="65">
        <f t="shared" si="4"/>
        <v>0.14700000000000002</v>
      </c>
      <c r="J30" s="65">
        <f t="shared" si="4"/>
        <v>-0.46100000000000008</v>
      </c>
      <c r="K30" s="65">
        <f t="shared" si="4"/>
        <v>-1.373</v>
      </c>
      <c r="L30" s="67" t="s">
        <v>64</v>
      </c>
      <c r="M30" s="66"/>
      <c r="N30" s="66"/>
    </row>
    <row r="31" spans="1:18" x14ac:dyDescent="0.25">
      <c r="L31" s="22" t="s">
        <v>159</v>
      </c>
      <c r="M31" s="22"/>
      <c r="N31" s="22"/>
      <c r="O31" s="22"/>
    </row>
    <row r="32" spans="1:18" x14ac:dyDescent="0.25">
      <c r="A32" t="s">
        <v>156</v>
      </c>
      <c r="M32" t="s">
        <v>160</v>
      </c>
    </row>
  </sheetData>
  <mergeCells count="2">
    <mergeCell ref="E13:G13"/>
    <mergeCell ref="O27:R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S3" workbookViewId="0">
      <selection activeCell="R1" sqref="R1:AA8"/>
    </sheetView>
  </sheetViews>
  <sheetFormatPr defaultRowHeight="15" x14ac:dyDescent="0.25"/>
  <cols>
    <col min="1" max="1" width="45.7109375" customWidth="1"/>
    <col min="2" max="2" width="6" customWidth="1"/>
    <col min="3" max="3" width="5.42578125" customWidth="1"/>
    <col min="4" max="4" width="6" customWidth="1"/>
    <col min="5" max="5" width="6.7109375" customWidth="1"/>
    <col min="6" max="6" width="5.85546875" customWidth="1"/>
    <col min="7" max="7" width="5.5703125" customWidth="1"/>
    <col min="8" max="8" width="4.85546875" customWidth="1"/>
    <col min="9" max="10" width="5.7109375" customWidth="1"/>
    <col min="11" max="11" width="5.5703125" customWidth="1"/>
    <col min="12" max="12" width="4.85546875" customWidth="1"/>
    <col min="13" max="13" width="4.140625" customWidth="1"/>
    <col min="14" max="14" width="4.7109375" customWidth="1"/>
    <col min="18" max="18" width="13.85546875" customWidth="1"/>
    <col min="19" max="19" width="11.5703125" bestFit="1" customWidth="1"/>
    <col min="20" max="20" width="7.5703125" customWidth="1"/>
    <col min="21" max="21" width="7.28515625" customWidth="1"/>
    <col min="22" max="23" width="7" customWidth="1"/>
    <col min="24" max="24" width="9.7109375" customWidth="1"/>
    <col min="25" max="25" width="6.140625" customWidth="1"/>
    <col min="26" max="26" width="5.85546875" customWidth="1"/>
    <col min="27" max="27" width="7" customWidth="1"/>
  </cols>
  <sheetData>
    <row r="1" spans="1:29" x14ac:dyDescent="0.25">
      <c r="A1" t="s">
        <v>49</v>
      </c>
      <c r="R1" t="s">
        <v>49</v>
      </c>
    </row>
    <row r="3" spans="1:29" x14ac:dyDescent="0.25">
      <c r="A3" t="s">
        <v>39</v>
      </c>
      <c r="R3" t="s">
        <v>39</v>
      </c>
    </row>
    <row r="5" spans="1:29" x14ac:dyDescent="0.25">
      <c r="A5" t="s">
        <v>37</v>
      </c>
      <c r="B5" s="14">
        <v>0.25</v>
      </c>
      <c r="C5" s="14">
        <v>0.5</v>
      </c>
      <c r="D5" s="14">
        <v>1</v>
      </c>
      <c r="E5" s="14">
        <v>1.5</v>
      </c>
      <c r="F5" s="14">
        <v>2</v>
      </c>
      <c r="G5" s="14">
        <v>4</v>
      </c>
      <c r="H5" s="14">
        <v>8</v>
      </c>
      <c r="I5" s="14">
        <v>12</v>
      </c>
      <c r="J5" s="14">
        <v>16</v>
      </c>
      <c r="R5" t="s">
        <v>37</v>
      </c>
      <c r="S5" s="14">
        <v>0.25</v>
      </c>
      <c r="T5" s="14">
        <v>0.5</v>
      </c>
      <c r="U5" s="14">
        <v>1</v>
      </c>
      <c r="V5" s="14">
        <v>1.5</v>
      </c>
      <c r="W5" s="14">
        <v>2</v>
      </c>
      <c r="X5" s="14">
        <v>4</v>
      </c>
      <c r="Y5" s="14">
        <v>8</v>
      </c>
      <c r="Z5" s="14">
        <v>12</v>
      </c>
      <c r="AA5" s="14">
        <v>16</v>
      </c>
    </row>
    <row r="6" spans="1:29" x14ac:dyDescent="0.25">
      <c r="A6" t="s">
        <v>38</v>
      </c>
      <c r="B6" s="14">
        <v>43</v>
      </c>
      <c r="C6" s="14">
        <v>32</v>
      </c>
      <c r="D6" s="14">
        <v>20</v>
      </c>
      <c r="E6" s="14">
        <v>14</v>
      </c>
      <c r="F6" s="14">
        <v>11</v>
      </c>
      <c r="G6" s="14">
        <v>6.5</v>
      </c>
      <c r="H6" s="14">
        <v>2.8</v>
      </c>
      <c r="I6" s="14">
        <v>1.2</v>
      </c>
      <c r="J6" s="14">
        <v>0.52</v>
      </c>
      <c r="R6" t="s">
        <v>38</v>
      </c>
      <c r="S6" s="14">
        <v>43</v>
      </c>
      <c r="T6" s="14">
        <v>32</v>
      </c>
      <c r="U6" s="14">
        <v>20</v>
      </c>
      <c r="V6" s="14">
        <v>14</v>
      </c>
      <c r="W6" s="14">
        <v>11</v>
      </c>
      <c r="X6" s="14">
        <v>6.5</v>
      </c>
      <c r="Y6" s="14">
        <v>2.8</v>
      </c>
      <c r="Z6" s="14">
        <v>1.2</v>
      </c>
      <c r="AA6" s="14">
        <v>0.52</v>
      </c>
    </row>
    <row r="7" spans="1:29" x14ac:dyDescent="0.25">
      <c r="A7" t="s">
        <v>40</v>
      </c>
      <c r="R7" t="s">
        <v>40</v>
      </c>
    </row>
    <row r="8" spans="1:29" x14ac:dyDescent="0.25">
      <c r="A8" t="s">
        <v>25</v>
      </c>
      <c r="R8" t="s">
        <v>25</v>
      </c>
    </row>
    <row r="9" spans="1:29" x14ac:dyDescent="0.25">
      <c r="A9" t="s">
        <v>37</v>
      </c>
      <c r="B9" s="15">
        <v>0.25</v>
      </c>
      <c r="C9" s="15">
        <v>0.5</v>
      </c>
      <c r="D9" s="15">
        <v>1</v>
      </c>
      <c r="E9" s="15">
        <v>1.5</v>
      </c>
      <c r="F9" s="15">
        <v>2</v>
      </c>
      <c r="G9" s="15">
        <v>4</v>
      </c>
      <c r="H9" s="15">
        <v>8</v>
      </c>
      <c r="I9" s="15">
        <v>12</v>
      </c>
      <c r="J9" s="15">
        <v>16</v>
      </c>
      <c r="R9" t="s">
        <v>37</v>
      </c>
      <c r="S9" s="15">
        <v>0.25</v>
      </c>
      <c r="T9" s="15">
        <v>0.5</v>
      </c>
      <c r="U9" s="15">
        <v>1</v>
      </c>
      <c r="V9" s="15">
        <v>1.5</v>
      </c>
      <c r="W9" s="15">
        <v>2</v>
      </c>
      <c r="X9" s="15">
        <v>4</v>
      </c>
      <c r="Y9" s="15">
        <v>8</v>
      </c>
      <c r="Z9" s="15">
        <v>12</v>
      </c>
      <c r="AA9" s="15">
        <v>16</v>
      </c>
      <c r="AC9" t="s">
        <v>66</v>
      </c>
    </row>
    <row r="10" spans="1:29" x14ac:dyDescent="0.25">
      <c r="A10" t="s">
        <v>38</v>
      </c>
      <c r="B10" s="14">
        <v>43</v>
      </c>
      <c r="C10" s="14">
        <v>32</v>
      </c>
      <c r="D10" s="14">
        <v>20</v>
      </c>
      <c r="E10" s="14">
        <v>14</v>
      </c>
      <c r="F10" s="14">
        <v>11</v>
      </c>
      <c r="G10" s="14">
        <v>6.5</v>
      </c>
      <c r="H10" s="14">
        <v>2.8</v>
      </c>
      <c r="I10" s="14">
        <v>1.2</v>
      </c>
      <c r="J10" s="14">
        <v>0.52</v>
      </c>
      <c r="R10" t="s">
        <v>38</v>
      </c>
      <c r="S10" s="14">
        <v>43</v>
      </c>
      <c r="T10" s="14">
        <v>32</v>
      </c>
      <c r="U10" s="14">
        <v>20</v>
      </c>
      <c r="V10" s="14">
        <v>14</v>
      </c>
      <c r="W10" s="14">
        <v>11</v>
      </c>
      <c r="X10" s="14">
        <v>6.5</v>
      </c>
      <c r="Y10" s="14">
        <v>2.8</v>
      </c>
      <c r="Z10" s="14">
        <v>1.2</v>
      </c>
      <c r="AA10" s="14">
        <v>0.52</v>
      </c>
    </row>
    <row r="11" spans="1:29" ht="26.25" x14ac:dyDescent="0.4">
      <c r="A11" t="s">
        <v>18</v>
      </c>
      <c r="B11" s="15">
        <f>LOG10(B10)</f>
        <v>1.6334684555795864</v>
      </c>
      <c r="C11" s="15">
        <f t="shared" ref="C11:J11" si="0">LOG10(C10)</f>
        <v>1.505149978319906</v>
      </c>
      <c r="D11" s="15">
        <f t="shared" si="0"/>
        <v>1.3010299956639813</v>
      </c>
      <c r="E11" s="15">
        <f t="shared" si="0"/>
        <v>1.146128035678238</v>
      </c>
      <c r="F11" s="15">
        <f t="shared" si="0"/>
        <v>1.0413926851582251</v>
      </c>
      <c r="G11" s="15">
        <f t="shared" si="0"/>
        <v>0.81291335664285558</v>
      </c>
      <c r="H11" s="15">
        <f t="shared" si="0"/>
        <v>0.44715803134221921</v>
      </c>
      <c r="I11" s="15">
        <f t="shared" si="0"/>
        <v>7.9181246047624818E-2</v>
      </c>
      <c r="J11" s="15">
        <f t="shared" si="0"/>
        <v>-0.28399665636520083</v>
      </c>
      <c r="R11" t="s">
        <v>18</v>
      </c>
      <c r="S11">
        <f t="shared" ref="S11:Z11" si="1">LOG10(S10)</f>
        <v>1.6334684555795864</v>
      </c>
      <c r="T11" s="25">
        <f t="shared" si="1"/>
        <v>1.505149978319906</v>
      </c>
      <c r="U11" s="25">
        <f t="shared" si="1"/>
        <v>1.3010299956639813</v>
      </c>
      <c r="V11" s="25">
        <f t="shared" si="1"/>
        <v>1.146128035678238</v>
      </c>
      <c r="W11" s="25">
        <f t="shared" si="1"/>
        <v>1.0413926851582251</v>
      </c>
      <c r="X11" s="25">
        <f t="shared" si="1"/>
        <v>0.81291335664285558</v>
      </c>
      <c r="Y11" s="25">
        <f t="shared" si="1"/>
        <v>0.44715803134221921</v>
      </c>
      <c r="Z11" s="25">
        <f t="shared" si="1"/>
        <v>7.9181246047624818E-2</v>
      </c>
      <c r="AA11" s="25">
        <f>LOG10(AA10)</f>
        <v>-0.28399665636520083</v>
      </c>
      <c r="AB11" s="26" t="s">
        <v>65</v>
      </c>
    </row>
    <row r="12" spans="1:29" x14ac:dyDescent="0.25">
      <c r="A12" t="s">
        <v>41</v>
      </c>
      <c r="B12" s="17">
        <f>(-0.091)*B9 +1.177</f>
        <v>1.15425</v>
      </c>
      <c r="C12" s="17">
        <f>(-0.091)*C9 +1.177</f>
        <v>1.1315</v>
      </c>
      <c r="D12" s="17">
        <f>(-0.091)*D9 +1.177</f>
        <v>1.0860000000000001</v>
      </c>
      <c r="E12" s="17">
        <f>(-0.091)*E9 +1.177</f>
        <v>1.0405</v>
      </c>
      <c r="F12" s="17">
        <f>(-0.091)*F9 +1.177</f>
        <v>0.99500000000000011</v>
      </c>
      <c r="G12" s="17">
        <f>(-0.285)*G9 +4.926</f>
        <v>3.7860000000000005</v>
      </c>
      <c r="H12" s="18">
        <v>2.8</v>
      </c>
      <c r="I12" s="18">
        <v>1.2</v>
      </c>
      <c r="J12" s="18">
        <v>0.52</v>
      </c>
      <c r="R12" t="s">
        <v>71</v>
      </c>
      <c r="S12">
        <f>-0.091*S9+1.177</f>
        <v>1.15425</v>
      </c>
      <c r="T12">
        <f>-0.091*T9+1.177</f>
        <v>1.1315</v>
      </c>
      <c r="U12">
        <f>-0.091*U9+1.177</f>
        <v>1.0860000000000001</v>
      </c>
      <c r="V12">
        <f>-0.091*V9+1.177</f>
        <v>1.0405</v>
      </c>
      <c r="W12">
        <f>-0.091*W9+1.177</f>
        <v>0.99500000000000011</v>
      </c>
      <c r="X12">
        <v>0.81299999999999994</v>
      </c>
      <c r="Y12">
        <v>0.44700000000000001</v>
      </c>
      <c r="Z12">
        <v>7.9000000000000001E-2</v>
      </c>
      <c r="AA12">
        <v>-0.28399999999999997</v>
      </c>
    </row>
    <row r="13" spans="1:29" x14ac:dyDescent="0.25">
      <c r="A13" s="19" t="s">
        <v>42</v>
      </c>
      <c r="B13" s="19">
        <f t="shared" ref="B13:G13" si="2">(-0.091)*B9 + 1.177</f>
        <v>1.15425</v>
      </c>
      <c r="C13" s="19">
        <f t="shared" si="2"/>
        <v>1.1315</v>
      </c>
      <c r="D13" s="19">
        <f t="shared" si="2"/>
        <v>1.0860000000000001</v>
      </c>
      <c r="E13" s="19">
        <f t="shared" si="2"/>
        <v>1.0405</v>
      </c>
      <c r="F13" s="19">
        <f t="shared" si="2"/>
        <v>0.99500000000000011</v>
      </c>
      <c r="G13" s="4">
        <f t="shared" si="2"/>
        <v>0.81300000000000006</v>
      </c>
      <c r="H13" s="4">
        <f>LOG10(H12)</f>
        <v>0.44715803134221921</v>
      </c>
      <c r="I13" s="4">
        <f>LOG10(I12)</f>
        <v>7.9181246047624818E-2</v>
      </c>
      <c r="J13" s="4">
        <f>LOG10(J12)</f>
        <v>-0.28399665636520083</v>
      </c>
      <c r="R13" t="s">
        <v>68</v>
      </c>
      <c r="S13">
        <f t="shared" ref="S13:Z13" si="3">POWER(10,S12)</f>
        <v>14.264284755467088</v>
      </c>
      <c r="T13">
        <f t="shared" si="3"/>
        <v>13.536300906714551</v>
      </c>
      <c r="U13">
        <f t="shared" si="3"/>
        <v>12.189895989248672</v>
      </c>
      <c r="V13">
        <f t="shared" si="3"/>
        <v>10.977412902737138</v>
      </c>
      <c r="W13">
        <f t="shared" si="3"/>
        <v>9.885530946569391</v>
      </c>
      <c r="X13">
        <f t="shared" si="3"/>
        <v>6.5012969034309078</v>
      </c>
      <c r="Y13">
        <f t="shared" si="3"/>
        <v>2.7989813196343625</v>
      </c>
      <c r="Z13">
        <f t="shared" si="3"/>
        <v>1.1994993031493788</v>
      </c>
      <c r="AA13">
        <f>POWER(10,AA12)</f>
        <v>0.51999599653351603</v>
      </c>
    </row>
    <row r="14" spans="1:29" x14ac:dyDescent="0.25">
      <c r="A14" s="19" t="s">
        <v>48</v>
      </c>
      <c r="B14" s="19"/>
      <c r="C14" s="19"/>
      <c r="D14" s="19"/>
      <c r="E14" s="19"/>
      <c r="F14" s="19"/>
      <c r="G14" s="4"/>
      <c r="H14" s="4"/>
      <c r="I14" s="4"/>
      <c r="J14" s="4"/>
      <c r="R14" t="s">
        <v>67</v>
      </c>
      <c r="S14" s="14">
        <f t="shared" ref="S14:Z14" si="4">S10-S13</f>
        <v>28.735715244532912</v>
      </c>
      <c r="T14" s="14">
        <f t="shared" si="4"/>
        <v>18.463699093285449</v>
      </c>
      <c r="U14" s="14">
        <f t="shared" si="4"/>
        <v>7.8101040107513278</v>
      </c>
      <c r="V14" s="14">
        <f t="shared" si="4"/>
        <v>3.0225870972628623</v>
      </c>
      <c r="W14" s="14">
        <f t="shared" si="4"/>
        <v>1.114469053430609</v>
      </c>
      <c r="X14" s="14">
        <f t="shared" si="4"/>
        <v>-1.2969034309078253E-3</v>
      </c>
      <c r="Y14" s="14">
        <f t="shared" si="4"/>
        <v>1.0186803656373478E-3</v>
      </c>
      <c r="Z14" s="14">
        <f t="shared" si="4"/>
        <v>5.0069685062115177E-4</v>
      </c>
      <c r="AA14" s="14">
        <f>AA10-AA13</f>
        <v>4.0034664839927459E-6</v>
      </c>
    </row>
    <row r="15" spans="1:29" x14ac:dyDescent="0.25">
      <c r="A15" s="19" t="s">
        <v>43</v>
      </c>
      <c r="B15" s="20">
        <f>B10-B12</f>
        <v>41.845750000000002</v>
      </c>
      <c r="C15" s="20">
        <f>C10-C12</f>
        <v>30.868500000000001</v>
      </c>
      <c r="D15" s="20">
        <f>D10-D12</f>
        <v>18.914000000000001</v>
      </c>
      <c r="E15" s="20">
        <f>E10-E12</f>
        <v>12.9595</v>
      </c>
      <c r="F15" s="20">
        <f>F10-F12</f>
        <v>10.004999999999999</v>
      </c>
      <c r="G15" s="4"/>
      <c r="H15" s="4"/>
      <c r="I15" s="4"/>
      <c r="J15" s="4"/>
      <c r="R15" t="s">
        <v>69</v>
      </c>
      <c r="S15" s="25">
        <f>LOG10(S14)</f>
        <v>1.4584220113840372</v>
      </c>
      <c r="T15" s="25">
        <f>LOG10(T14)</f>
        <v>1.2663187137465122</v>
      </c>
      <c r="U15" s="28">
        <f>LOG10(U14)</f>
        <v>0.89265681761540216</v>
      </c>
      <c r="V15" s="28">
        <f>LOG10(V14)</f>
        <v>0.48037882411201871</v>
      </c>
      <c r="W15" s="28">
        <f>LOG10(W14)</f>
        <v>4.7068013497352547E-2</v>
      </c>
      <c r="X15" s="25"/>
      <c r="Y15" s="25"/>
      <c r="Z15" s="25"/>
      <c r="AA15" s="25"/>
    </row>
    <row r="16" spans="1:29" x14ac:dyDescent="0.25">
      <c r="A16" s="19" t="s">
        <v>44</v>
      </c>
      <c r="B16" s="21">
        <f>LOG10(B15)</f>
        <v>1.6216513561100341</v>
      </c>
      <c r="C16" s="21">
        <f>LOG10(C15)</f>
        <v>1.489515526224874</v>
      </c>
      <c r="D16" s="21">
        <f>LOG10(D15)</f>
        <v>1.2767833847002688</v>
      </c>
      <c r="E16" s="21">
        <f>LOG10(E15)</f>
        <v>1.1125882460230117</v>
      </c>
      <c r="F16" s="21">
        <f>LOG10(F15)</f>
        <v>1.0002170929722303</v>
      </c>
      <c r="G16" s="21">
        <f>(-0.435 *G9)+1.657</f>
        <v>-8.2999999999999963E-2</v>
      </c>
      <c r="H16" s="21">
        <f>(-0.435 *H9)+1.657</f>
        <v>-1.823</v>
      </c>
      <c r="I16" s="21">
        <f>(-0.435 *I9)+1.657</f>
        <v>-3.5629999999999997</v>
      </c>
      <c r="J16" s="21">
        <f>(-0.435 *J9)+1.657</f>
        <v>-5.3029999999999999</v>
      </c>
    </row>
    <row r="18" spans="1:18" x14ac:dyDescent="0.25">
      <c r="A18" s="16" t="s">
        <v>45</v>
      </c>
      <c r="R18" s="27" t="s">
        <v>45</v>
      </c>
    </row>
    <row r="19" spans="1:18" x14ac:dyDescent="0.25">
      <c r="A19" s="16" t="s">
        <v>47</v>
      </c>
      <c r="R19" s="27" t="s">
        <v>70</v>
      </c>
    </row>
    <row r="20" spans="1:18" x14ac:dyDescent="0.25">
      <c r="A20" s="16" t="s">
        <v>46</v>
      </c>
      <c r="R20" s="27" t="s">
        <v>46</v>
      </c>
    </row>
    <row r="23" spans="1:18" x14ac:dyDescent="0.25">
      <c r="A23" s="16" t="s">
        <v>50</v>
      </c>
    </row>
    <row r="24" spans="1:18" x14ac:dyDescent="0.25">
      <c r="A24" t="s">
        <v>37</v>
      </c>
      <c r="B24" s="22">
        <v>0.17</v>
      </c>
      <c r="C24" s="22">
        <v>0.33</v>
      </c>
      <c r="D24" s="22">
        <v>0.5</v>
      </c>
      <c r="E24" s="22">
        <v>0.67</v>
      </c>
      <c r="F24" s="22">
        <v>1</v>
      </c>
      <c r="G24" s="22">
        <v>1.5</v>
      </c>
      <c r="H24" s="22">
        <v>2</v>
      </c>
      <c r="I24" s="22">
        <v>3</v>
      </c>
      <c r="J24" s="22">
        <v>4</v>
      </c>
      <c r="K24" s="22">
        <v>6</v>
      </c>
      <c r="L24" s="22">
        <v>7.7</v>
      </c>
      <c r="M24" s="22">
        <v>18</v>
      </c>
      <c r="N24" s="22">
        <v>23</v>
      </c>
    </row>
    <row r="25" spans="1:18" x14ac:dyDescent="0.25">
      <c r="A25" t="s">
        <v>38</v>
      </c>
      <c r="B25">
        <v>36.200000000000003</v>
      </c>
      <c r="C25">
        <v>34</v>
      </c>
      <c r="D25">
        <v>27</v>
      </c>
      <c r="E25">
        <v>23</v>
      </c>
      <c r="F25">
        <v>20.8</v>
      </c>
      <c r="G25">
        <v>17.8</v>
      </c>
      <c r="H25">
        <v>16.5</v>
      </c>
      <c r="I25">
        <v>13.9</v>
      </c>
      <c r="J25">
        <v>12</v>
      </c>
      <c r="K25">
        <v>8.6999999999999993</v>
      </c>
      <c r="L25">
        <v>7.7</v>
      </c>
      <c r="M25">
        <v>3.2</v>
      </c>
      <c r="N25">
        <v>2.4</v>
      </c>
    </row>
    <row r="26" spans="1:18" x14ac:dyDescent="0.25">
      <c r="A26" t="s">
        <v>51</v>
      </c>
      <c r="B26" s="22">
        <f>LOG10(B25)</f>
        <v>1.5587085705331658</v>
      </c>
      <c r="C26" s="22">
        <f t="shared" ref="C26:N26" si="5">LOG10(C25)</f>
        <v>1.5314789170422551</v>
      </c>
      <c r="D26" s="22">
        <f t="shared" si="5"/>
        <v>1.4313637641589874</v>
      </c>
      <c r="E26" s="22">
        <f t="shared" si="5"/>
        <v>1.3617278360175928</v>
      </c>
      <c r="F26" s="22">
        <f t="shared" si="5"/>
        <v>1.3180633349627615</v>
      </c>
      <c r="G26" s="22">
        <f t="shared" si="5"/>
        <v>1.2504200023088941</v>
      </c>
      <c r="H26" s="22">
        <f t="shared" si="5"/>
        <v>1.2174839442139063</v>
      </c>
      <c r="I26" s="22">
        <f t="shared" si="5"/>
        <v>1.1430148002540952</v>
      </c>
      <c r="J26" s="22">
        <f t="shared" si="5"/>
        <v>1.0791812460476249</v>
      </c>
      <c r="K26" s="22">
        <f>LOG10(K25)</f>
        <v>0.93951925261861846</v>
      </c>
      <c r="L26" s="22">
        <f t="shared" si="5"/>
        <v>0.88649072517248184</v>
      </c>
      <c r="M26" s="22">
        <f t="shared" si="5"/>
        <v>0.50514997831990605</v>
      </c>
      <c r="N26" s="22">
        <f t="shared" si="5"/>
        <v>0.38021124171160603</v>
      </c>
    </row>
    <row r="27" spans="1:18" x14ac:dyDescent="0.25">
      <c r="A27" t="s">
        <v>53</v>
      </c>
      <c r="B27">
        <f t="shared" ref="B27:I27" si="6">-0.033*B24+1.14</f>
        <v>1.13439</v>
      </c>
      <c r="C27">
        <f t="shared" si="6"/>
        <v>1.1291099999999998</v>
      </c>
      <c r="D27">
        <f t="shared" si="6"/>
        <v>1.1234999999999999</v>
      </c>
      <c r="E27">
        <f t="shared" si="6"/>
        <v>1.1178899999999998</v>
      </c>
      <c r="F27">
        <f t="shared" si="6"/>
        <v>1.107</v>
      </c>
      <c r="G27">
        <f t="shared" si="6"/>
        <v>1.0904999999999998</v>
      </c>
      <c r="H27">
        <f t="shared" si="6"/>
        <v>1.0739999999999998</v>
      </c>
      <c r="I27">
        <f t="shared" si="6"/>
        <v>1.0409999999999999</v>
      </c>
      <c r="J27">
        <f>-0.033*J24+1.14</f>
        <v>1.008</v>
      </c>
      <c r="K27" s="23">
        <v>0.94</v>
      </c>
      <c r="L27" s="23">
        <v>0.89</v>
      </c>
      <c r="M27" s="23">
        <v>0.5</v>
      </c>
      <c r="N27" s="23">
        <v>0.38</v>
      </c>
      <c r="O27" t="s">
        <v>52</v>
      </c>
    </row>
    <row r="28" spans="1:18" x14ac:dyDescent="0.25">
      <c r="A28" t="s">
        <v>48</v>
      </c>
      <c r="B28">
        <f t="shared" ref="B28:I28" si="7">POWER(10,B27)</f>
        <v>13.626678200475393</v>
      </c>
      <c r="C28">
        <f t="shared" si="7"/>
        <v>13.462012826087955</v>
      </c>
      <c r="D28">
        <f t="shared" si="7"/>
        <v>13.289235571266563</v>
      </c>
      <c r="E28">
        <f t="shared" si="7"/>
        <v>13.11867581394492</v>
      </c>
      <c r="F28">
        <f t="shared" si="7"/>
        <v>12.793813041575248</v>
      </c>
      <c r="G28">
        <f t="shared" si="7"/>
        <v>12.316859857363546</v>
      </c>
      <c r="H28">
        <f t="shared" si="7"/>
        <v>11.857687481671597</v>
      </c>
      <c r="I28">
        <f t="shared" si="7"/>
        <v>10.990058394325212</v>
      </c>
      <c r="J28">
        <f>POWER(10,J27)</f>
        <v>10.18591388054117</v>
      </c>
      <c r="K28">
        <f>POWER(10,K27)</f>
        <v>8.709635899560805</v>
      </c>
      <c r="L28">
        <f>POWER(10,L27)</f>
        <v>7.7624711662869199</v>
      </c>
      <c r="M28">
        <f>POWER(10,M27)</f>
        <v>3.1622776601683795</v>
      </c>
      <c r="N28">
        <f>POWER(10,N27)</f>
        <v>2.3988329190194908</v>
      </c>
    </row>
    <row r="29" spans="1:18" x14ac:dyDescent="0.25">
      <c r="A29" t="s">
        <v>54</v>
      </c>
      <c r="B29">
        <f>B25-B28</f>
        <v>22.57332179952461</v>
      </c>
      <c r="C29">
        <f t="shared" ref="C29:N29" si="8">C25-C28</f>
        <v>20.537987173912043</v>
      </c>
      <c r="D29">
        <f t="shared" si="8"/>
        <v>13.710764428733437</v>
      </c>
      <c r="E29">
        <f t="shared" si="8"/>
        <v>9.88132418605508</v>
      </c>
      <c r="F29">
        <f t="shared" si="8"/>
        <v>8.0061869584247525</v>
      </c>
      <c r="G29">
        <f t="shared" si="8"/>
        <v>5.4831401426364543</v>
      </c>
      <c r="H29">
        <f t="shared" si="8"/>
        <v>4.6423125183284029</v>
      </c>
      <c r="I29">
        <f t="shared" si="8"/>
        <v>2.9099416056747884</v>
      </c>
      <c r="J29">
        <f t="shared" si="8"/>
        <v>1.81408611945883</v>
      </c>
      <c r="K29">
        <f t="shared" si="8"/>
        <v>-9.635899560805683E-3</v>
      </c>
      <c r="L29">
        <f t="shared" si="8"/>
        <v>-6.2471166286919733E-2</v>
      </c>
      <c r="M29">
        <f t="shared" si="8"/>
        <v>3.7722339831620655E-2</v>
      </c>
      <c r="N29">
        <f t="shared" si="8"/>
        <v>1.1670809805091054E-3</v>
      </c>
    </row>
    <row r="30" spans="1:18" x14ac:dyDescent="0.25">
      <c r="A30" t="s">
        <v>55</v>
      </c>
      <c r="B30">
        <f>LOG10(B29)</f>
        <v>1.3535954728151045</v>
      </c>
      <c r="C30">
        <f t="shared" ref="C30:J30" si="9">LOG10(C29)</f>
        <v>1.3125578783022704</v>
      </c>
      <c r="D30">
        <f t="shared" si="9"/>
        <v>1.1370616690802331</v>
      </c>
      <c r="E30">
        <f t="shared" si="9"/>
        <v>0.99481514784285341</v>
      </c>
      <c r="F30">
        <f t="shared" si="9"/>
        <v>0.90342572742087068</v>
      </c>
      <c r="G30">
        <f t="shared" si="9"/>
        <v>0.73902934608335125</v>
      </c>
      <c r="H30">
        <f t="shared" si="9"/>
        <v>0.66673437360739241</v>
      </c>
      <c r="I30">
        <f t="shared" si="9"/>
        <v>0.46388427400732746</v>
      </c>
      <c r="J30">
        <f t="shared" si="9"/>
        <v>0.25865790031943109</v>
      </c>
    </row>
    <row r="31" spans="1:18" x14ac:dyDescent="0.25">
      <c r="B31" s="24"/>
      <c r="C31" s="24"/>
      <c r="D31" s="24"/>
      <c r="E31" s="24"/>
    </row>
    <row r="50" spans="1:18" x14ac:dyDescent="0.25">
      <c r="A50" t="s">
        <v>98</v>
      </c>
      <c r="P50">
        <v>100</v>
      </c>
    </row>
    <row r="51" spans="1:18" x14ac:dyDescent="0.25">
      <c r="A51" t="s">
        <v>37</v>
      </c>
      <c r="B51">
        <v>0</v>
      </c>
      <c r="C51">
        <v>0.25</v>
      </c>
      <c r="D51">
        <v>0.5</v>
      </c>
      <c r="E51">
        <v>0.75</v>
      </c>
      <c r="F51">
        <v>1</v>
      </c>
      <c r="G51">
        <v>1.5</v>
      </c>
      <c r="H51">
        <v>2</v>
      </c>
      <c r="I51">
        <v>2.5</v>
      </c>
      <c r="J51">
        <v>3</v>
      </c>
      <c r="K51">
        <v>4</v>
      </c>
      <c r="L51">
        <v>5</v>
      </c>
      <c r="M51">
        <v>6</v>
      </c>
      <c r="N51">
        <v>7</v>
      </c>
      <c r="P51">
        <f>LOG10(P50)</f>
        <v>2</v>
      </c>
    </row>
    <row r="52" spans="1:18" x14ac:dyDescent="0.25">
      <c r="A52" t="s">
        <v>38</v>
      </c>
      <c r="B52">
        <v>70</v>
      </c>
      <c r="C52">
        <v>53.8</v>
      </c>
      <c r="D52">
        <v>43.3</v>
      </c>
      <c r="E52">
        <v>35</v>
      </c>
      <c r="F52">
        <v>29.1</v>
      </c>
      <c r="G52">
        <v>21.2</v>
      </c>
      <c r="H52" t="s">
        <v>99</v>
      </c>
      <c r="I52">
        <v>14.3</v>
      </c>
      <c r="J52">
        <v>12.6</v>
      </c>
      <c r="K52">
        <v>10.5</v>
      </c>
      <c r="L52">
        <v>9</v>
      </c>
      <c r="M52">
        <v>8</v>
      </c>
      <c r="N52">
        <v>7</v>
      </c>
    </row>
    <row r="53" spans="1:18" x14ac:dyDescent="0.25">
      <c r="A53" t="s">
        <v>100</v>
      </c>
    </row>
    <row r="54" spans="1:18" x14ac:dyDescent="0.25">
      <c r="A54" t="s">
        <v>25</v>
      </c>
    </row>
    <row r="55" spans="1:18" x14ac:dyDescent="0.25">
      <c r="A55" t="s">
        <v>37</v>
      </c>
      <c r="B55">
        <v>0</v>
      </c>
      <c r="C55">
        <v>0.25</v>
      </c>
      <c r="D55">
        <v>0.5</v>
      </c>
      <c r="E55">
        <v>0.75</v>
      </c>
      <c r="F55">
        <v>1</v>
      </c>
      <c r="G55">
        <v>1.5</v>
      </c>
      <c r="H55">
        <v>2</v>
      </c>
      <c r="I55">
        <v>2.5</v>
      </c>
      <c r="J55">
        <v>3</v>
      </c>
      <c r="K55">
        <v>4</v>
      </c>
      <c r="L55">
        <v>5</v>
      </c>
      <c r="M55">
        <v>6</v>
      </c>
      <c r="N55">
        <v>7</v>
      </c>
    </row>
    <row r="56" spans="1:18" x14ac:dyDescent="0.25">
      <c r="A56" t="s">
        <v>38</v>
      </c>
      <c r="B56">
        <v>70</v>
      </c>
      <c r="C56">
        <v>53.8</v>
      </c>
      <c r="D56">
        <v>43.3</v>
      </c>
      <c r="E56">
        <v>35</v>
      </c>
      <c r="F56">
        <v>29.1</v>
      </c>
      <c r="G56">
        <v>21.2</v>
      </c>
      <c r="H56">
        <v>17</v>
      </c>
      <c r="I56">
        <v>14.3</v>
      </c>
      <c r="J56">
        <v>12.6</v>
      </c>
      <c r="K56">
        <v>10.5</v>
      </c>
      <c r="L56">
        <v>9</v>
      </c>
      <c r="M56">
        <v>8</v>
      </c>
      <c r="N56">
        <v>7</v>
      </c>
    </row>
    <row r="57" spans="1:18" x14ac:dyDescent="0.25">
      <c r="A57" t="s">
        <v>48</v>
      </c>
      <c r="B57">
        <f t="shared" ref="B57:I57" si="10">-1.1*B55+14.95</f>
        <v>14.95</v>
      </c>
      <c r="C57">
        <f t="shared" si="10"/>
        <v>14.674999999999999</v>
      </c>
      <c r="D57">
        <f t="shared" si="10"/>
        <v>14.399999999999999</v>
      </c>
      <c r="E57">
        <f t="shared" si="10"/>
        <v>14.125</v>
      </c>
      <c r="F57">
        <f t="shared" si="10"/>
        <v>13.85</v>
      </c>
      <c r="G57">
        <f t="shared" si="10"/>
        <v>13.299999999999999</v>
      </c>
      <c r="H57">
        <f t="shared" si="10"/>
        <v>12.75</v>
      </c>
      <c r="I57">
        <f t="shared" si="10"/>
        <v>12.2</v>
      </c>
      <c r="J57">
        <f>-1.1*J55+14.95</f>
        <v>11.649999999999999</v>
      </c>
      <c r="K57">
        <v>10.5</v>
      </c>
      <c r="L57">
        <v>9</v>
      </c>
      <c r="M57">
        <v>8</v>
      </c>
      <c r="N57">
        <v>7</v>
      </c>
    </row>
    <row r="58" spans="1:18" x14ac:dyDescent="0.25">
      <c r="A58" t="s">
        <v>51</v>
      </c>
      <c r="B58">
        <f>LOG10(B56)</f>
        <v>1.8450980400142569</v>
      </c>
      <c r="C58">
        <f t="shared" ref="C58:N58" si="11">LOG10(C56)</f>
        <v>1.7307822756663891</v>
      </c>
      <c r="D58">
        <f t="shared" si="11"/>
        <v>1.6364878963533653</v>
      </c>
      <c r="E58">
        <f t="shared" si="11"/>
        <v>1.5440680443502757</v>
      </c>
      <c r="F58">
        <f t="shared" si="11"/>
        <v>1.4638929889859074</v>
      </c>
      <c r="G58">
        <f t="shared" si="11"/>
        <v>1.3263358609287514</v>
      </c>
      <c r="H58">
        <f t="shared" si="11"/>
        <v>1.2304489213782739</v>
      </c>
      <c r="I58">
        <f t="shared" si="11"/>
        <v>1.1553360374650619</v>
      </c>
      <c r="J58">
        <f t="shared" si="11"/>
        <v>1.1003705451175629</v>
      </c>
      <c r="K58">
        <f t="shared" si="11"/>
        <v>1.0211892990699381</v>
      </c>
      <c r="L58">
        <f t="shared" si="11"/>
        <v>0.95424250943932487</v>
      </c>
      <c r="M58">
        <f t="shared" si="11"/>
        <v>0.90308998699194354</v>
      </c>
      <c r="N58">
        <f t="shared" si="11"/>
        <v>0.84509804001425681</v>
      </c>
      <c r="P58" t="s">
        <v>102</v>
      </c>
    </row>
    <row r="59" spans="1:18" x14ac:dyDescent="0.25">
      <c r="A59" t="s">
        <v>53</v>
      </c>
      <c r="B59">
        <f>LOG10(B57)</f>
        <v>1.1746411926604485</v>
      </c>
      <c r="C59">
        <f t="shared" ref="C59:N59" si="12">LOG10(C57)</f>
        <v>1.1665781099196522</v>
      </c>
      <c r="D59">
        <f t="shared" si="12"/>
        <v>1.1583624920952496</v>
      </c>
      <c r="E59">
        <f t="shared" si="12"/>
        <v>1.1499884564914762</v>
      </c>
      <c r="F59">
        <f t="shared" si="12"/>
        <v>1.1414497734004674</v>
      </c>
      <c r="G59">
        <f t="shared" si="12"/>
        <v>1.1238516409670858</v>
      </c>
      <c r="H59">
        <f t="shared" si="12"/>
        <v>1.105510184769974</v>
      </c>
      <c r="I59">
        <f t="shared" si="12"/>
        <v>1.0863598306747482</v>
      </c>
      <c r="J59">
        <f t="shared" si="12"/>
        <v>1.0663259253620376</v>
      </c>
      <c r="K59">
        <f t="shared" si="12"/>
        <v>1.0211892990699381</v>
      </c>
      <c r="L59">
        <f t="shared" si="12"/>
        <v>0.95424250943932487</v>
      </c>
      <c r="M59">
        <f t="shared" si="12"/>
        <v>0.90308998699194354</v>
      </c>
      <c r="N59">
        <f t="shared" si="12"/>
        <v>0.84509804001425681</v>
      </c>
      <c r="R59" t="s">
        <v>103</v>
      </c>
    </row>
    <row r="60" spans="1:18" x14ac:dyDescent="0.25">
      <c r="A60" t="s">
        <v>101</v>
      </c>
      <c r="B60">
        <f>B58-B59</f>
        <v>0.67045684735380839</v>
      </c>
      <c r="C60">
        <f t="shared" ref="C60:N60" si="13">C58-C59</f>
        <v>0.56420416574673693</v>
      </c>
      <c r="D60">
        <f t="shared" si="13"/>
        <v>0.47812540425811578</v>
      </c>
      <c r="E60">
        <f t="shared" si="13"/>
        <v>0.39407958785879948</v>
      </c>
      <c r="F60">
        <f t="shared" si="13"/>
        <v>0.32244321558543998</v>
      </c>
      <c r="G60">
        <f t="shared" si="13"/>
        <v>0.20248421996166566</v>
      </c>
      <c r="H60">
        <f t="shared" si="13"/>
        <v>0.12493873660829991</v>
      </c>
      <c r="I60">
        <f t="shared" si="13"/>
        <v>6.8976206790313688E-2</v>
      </c>
      <c r="J60">
        <f t="shared" si="13"/>
        <v>3.4044619755525307E-2</v>
      </c>
      <c r="K60">
        <f t="shared" si="13"/>
        <v>0</v>
      </c>
      <c r="L60">
        <f t="shared" si="13"/>
        <v>0</v>
      </c>
      <c r="M60">
        <f t="shared" si="13"/>
        <v>0</v>
      </c>
      <c r="N60">
        <f t="shared" si="13"/>
        <v>0</v>
      </c>
    </row>
    <row r="61" spans="1:18" x14ac:dyDescent="0.25">
      <c r="A61" t="s">
        <v>54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opLeftCell="I10" workbookViewId="0">
      <selection activeCell="A10" sqref="A10:H23"/>
    </sheetView>
  </sheetViews>
  <sheetFormatPr defaultRowHeight="15" x14ac:dyDescent="0.25"/>
  <cols>
    <col min="5" max="5" width="13.5703125" customWidth="1"/>
    <col min="6" max="6" width="7.5703125" customWidth="1"/>
    <col min="8" max="8" width="21.85546875" customWidth="1"/>
  </cols>
  <sheetData>
    <row r="2" spans="1:10" x14ac:dyDescent="0.25">
      <c r="A2" t="s">
        <v>49</v>
      </c>
    </row>
    <row r="4" spans="1:10" x14ac:dyDescent="0.25">
      <c r="A4" t="s">
        <v>39</v>
      </c>
    </row>
    <row r="6" spans="1:10" x14ac:dyDescent="0.25">
      <c r="A6" t="s">
        <v>37</v>
      </c>
      <c r="B6" s="14">
        <v>0.25</v>
      </c>
      <c r="C6" s="14">
        <v>0.5</v>
      </c>
      <c r="D6" s="14">
        <v>1</v>
      </c>
      <c r="E6" s="14">
        <v>1.5</v>
      </c>
      <c r="F6" s="14">
        <v>2</v>
      </c>
      <c r="G6" s="14">
        <v>4</v>
      </c>
      <c r="H6" s="14">
        <v>8</v>
      </c>
      <c r="I6" s="14">
        <v>12</v>
      </c>
      <c r="J6" s="14">
        <v>16</v>
      </c>
    </row>
    <row r="7" spans="1:10" x14ac:dyDescent="0.25">
      <c r="A7" t="s">
        <v>38</v>
      </c>
      <c r="B7" s="14">
        <v>43</v>
      </c>
      <c r="C7" s="14">
        <v>32</v>
      </c>
      <c r="D7" s="14">
        <v>20</v>
      </c>
      <c r="E7" s="14">
        <v>14</v>
      </c>
      <c r="F7" s="14">
        <v>11</v>
      </c>
      <c r="G7" s="14">
        <v>6.5</v>
      </c>
      <c r="H7" s="14">
        <v>2.8</v>
      </c>
      <c r="I7" s="14">
        <v>1.2</v>
      </c>
      <c r="J7" s="14">
        <v>0.52</v>
      </c>
    </row>
    <row r="8" spans="1:10" x14ac:dyDescent="0.25">
      <c r="A8" t="s">
        <v>40</v>
      </c>
    </row>
    <row r="9" spans="1:10" x14ac:dyDescent="0.25">
      <c r="A9" t="s">
        <v>25</v>
      </c>
    </row>
    <row r="10" spans="1:10" x14ac:dyDescent="0.25">
      <c r="F10" s="86" t="s">
        <v>108</v>
      </c>
      <c r="G10" s="86"/>
      <c r="H10" s="54" t="s">
        <v>111</v>
      </c>
      <c r="I10" s="54"/>
    </row>
    <row r="11" spans="1:10" x14ac:dyDescent="0.25">
      <c r="D11" t="s">
        <v>105</v>
      </c>
      <c r="F11" t="s">
        <v>109</v>
      </c>
    </row>
    <row r="12" spans="1:10" x14ac:dyDescent="0.25">
      <c r="A12" t="s">
        <v>104</v>
      </c>
      <c r="B12" t="s">
        <v>58</v>
      </c>
      <c r="C12" t="s">
        <v>18</v>
      </c>
      <c r="D12" t="s">
        <v>61</v>
      </c>
      <c r="E12" t="s">
        <v>106</v>
      </c>
      <c r="F12" t="s">
        <v>107</v>
      </c>
      <c r="H12" t="s">
        <v>110</v>
      </c>
    </row>
    <row r="13" spans="1:10" ht="15.75" thickBot="1" x14ac:dyDescent="0.3">
      <c r="A13">
        <v>0</v>
      </c>
      <c r="F13" s="86">
        <v>1.1399999999999999</v>
      </c>
      <c r="G13" s="86"/>
      <c r="H13" s="54">
        <v>0.84850000000000003</v>
      </c>
    </row>
    <row r="14" spans="1:10" ht="19.5" thickBot="1" x14ac:dyDescent="0.3">
      <c r="A14" s="45">
        <v>0.25</v>
      </c>
      <c r="B14" s="45">
        <v>3</v>
      </c>
      <c r="C14">
        <f>LOG10(B14)</f>
        <v>0.47712125471966244</v>
      </c>
      <c r="F14" s="85">
        <f>-0.211*A14+1.14</f>
        <v>1.0872499999999998</v>
      </c>
      <c r="G14" s="85"/>
      <c r="H14" s="56">
        <f>F14-C14</f>
        <v>0.61012874528033745</v>
      </c>
    </row>
    <row r="15" spans="1:10" ht="19.5" thickBot="1" x14ac:dyDescent="0.3">
      <c r="A15" s="46">
        <v>0.5</v>
      </c>
      <c r="B15" s="47">
        <v>4.5999999999999996</v>
      </c>
      <c r="C15">
        <f t="shared" ref="C15:C23" si="0">LOG10(B15)</f>
        <v>0.66275783168157409</v>
      </c>
      <c r="F15" s="85">
        <f t="shared" ref="F15:F23" si="1">-0.211*A15+1.14</f>
        <v>1.0345</v>
      </c>
      <c r="G15" s="85"/>
      <c r="H15" s="56">
        <f t="shared" ref="H15" si="2">F15-C15</f>
        <v>0.37174216831842588</v>
      </c>
    </row>
    <row r="16" spans="1:10" ht="19.5" thickBot="1" x14ac:dyDescent="0.3">
      <c r="A16" s="48">
        <v>1</v>
      </c>
      <c r="B16" s="49">
        <v>5.7</v>
      </c>
      <c r="C16">
        <f t="shared" si="0"/>
        <v>0.75587485567249146</v>
      </c>
      <c r="F16" s="85">
        <f t="shared" si="1"/>
        <v>0.92899999999999994</v>
      </c>
      <c r="G16" s="85"/>
      <c r="H16" s="54">
        <f>-0.9535*A16+0.8485</f>
        <v>-0.10499999999999998</v>
      </c>
    </row>
    <row r="17" spans="1:8" ht="19.5" thickBot="1" x14ac:dyDescent="0.3">
      <c r="A17" s="46">
        <v>1.5</v>
      </c>
      <c r="B17" s="47">
        <v>5.6</v>
      </c>
      <c r="C17">
        <f t="shared" si="0"/>
        <v>0.74818802700620035</v>
      </c>
      <c r="F17" s="85">
        <f t="shared" si="1"/>
        <v>0.8234999999999999</v>
      </c>
      <c r="G17" s="85"/>
      <c r="H17" s="54">
        <f t="shared" ref="H17:H18" si="3">-0.9535*A17+0.8485</f>
        <v>-0.58174999999999999</v>
      </c>
    </row>
    <row r="18" spans="1:8" ht="19.5" thickBot="1" x14ac:dyDescent="0.3">
      <c r="A18" s="48">
        <v>2</v>
      </c>
      <c r="B18" s="49">
        <v>4.8</v>
      </c>
      <c r="C18">
        <f t="shared" si="0"/>
        <v>0.68124123737558717</v>
      </c>
      <c r="E18" s="27"/>
      <c r="F18" s="53">
        <f t="shared" si="1"/>
        <v>0.71799999999999997</v>
      </c>
      <c r="H18" s="54">
        <f t="shared" si="3"/>
        <v>-1.0585</v>
      </c>
    </row>
    <row r="19" spans="1:8" ht="19.5" thickBot="1" x14ac:dyDescent="0.3">
      <c r="A19" s="46">
        <v>3</v>
      </c>
      <c r="B19" s="47">
        <v>3.2</v>
      </c>
      <c r="C19">
        <f t="shared" si="0"/>
        <v>0.50514997831990605</v>
      </c>
      <c r="D19" s="50">
        <v>3.2</v>
      </c>
      <c r="E19" s="52">
        <f>LOG10(D19)</f>
        <v>0.50514997831990605</v>
      </c>
      <c r="F19" s="53">
        <f t="shared" si="1"/>
        <v>0.5069999999999999</v>
      </c>
      <c r="H19" s="54">
        <f>-0.9535*A19+0.8485</f>
        <v>-2.012</v>
      </c>
    </row>
    <row r="20" spans="1:8" ht="19.5" thickBot="1" x14ac:dyDescent="0.3">
      <c r="A20" s="48">
        <v>4</v>
      </c>
      <c r="B20" s="49">
        <v>2</v>
      </c>
      <c r="C20">
        <f t="shared" si="0"/>
        <v>0.3010299956639812</v>
      </c>
      <c r="D20" s="51">
        <v>2</v>
      </c>
      <c r="E20" s="52">
        <f>LOG10(D20)</f>
        <v>0.3010299956639812</v>
      </c>
      <c r="F20" s="53">
        <f t="shared" si="1"/>
        <v>0.29599999999999993</v>
      </c>
      <c r="H20" s="54">
        <f t="shared" ref="H20:H23" si="4">-0.9535*A20+0.8485</f>
        <v>-2.9655</v>
      </c>
    </row>
    <row r="21" spans="1:8" ht="19.5" thickBot="1" x14ac:dyDescent="0.3">
      <c r="A21" s="46">
        <v>5</v>
      </c>
      <c r="B21" s="47">
        <v>1.2</v>
      </c>
      <c r="C21">
        <f t="shared" si="0"/>
        <v>7.9181246047624818E-2</v>
      </c>
      <c r="D21" s="50">
        <v>1.2</v>
      </c>
      <c r="E21" s="52">
        <f>LOG10(D21)</f>
        <v>7.9181246047624818E-2</v>
      </c>
      <c r="F21" s="53">
        <f t="shared" si="1"/>
        <v>8.4999999999999964E-2</v>
      </c>
      <c r="H21" s="54">
        <f t="shared" si="4"/>
        <v>-3.919</v>
      </c>
    </row>
    <row r="22" spans="1:8" ht="19.5" thickBot="1" x14ac:dyDescent="0.3">
      <c r="A22" s="48">
        <v>6</v>
      </c>
      <c r="B22" s="49">
        <v>0.75</v>
      </c>
      <c r="C22">
        <f t="shared" si="0"/>
        <v>-0.12493873660829995</v>
      </c>
      <c r="D22" s="51">
        <v>0.75</v>
      </c>
      <c r="E22" s="52">
        <f>LOG10(D22)</f>
        <v>-0.12493873660829995</v>
      </c>
      <c r="F22" s="53">
        <f t="shared" si="1"/>
        <v>-0.12600000000000011</v>
      </c>
      <c r="H22" s="54">
        <f t="shared" si="4"/>
        <v>-4.8725000000000005</v>
      </c>
    </row>
    <row r="23" spans="1:8" ht="19.5" thickBot="1" x14ac:dyDescent="0.3">
      <c r="A23" s="46">
        <v>7</v>
      </c>
      <c r="B23" s="47">
        <v>0.46</v>
      </c>
      <c r="C23">
        <f t="shared" si="0"/>
        <v>-0.33724216831842591</v>
      </c>
      <c r="D23" s="50">
        <v>0.46</v>
      </c>
      <c r="E23" s="52">
        <f>LOG10(D23)</f>
        <v>-0.33724216831842591</v>
      </c>
      <c r="F23" s="53">
        <f t="shared" si="1"/>
        <v>-0.33699999999999997</v>
      </c>
      <c r="H23" s="54">
        <f t="shared" si="4"/>
        <v>-5.8260000000000005</v>
      </c>
    </row>
  </sheetData>
  <mergeCells count="6">
    <mergeCell ref="F17:G17"/>
    <mergeCell ref="F10:G10"/>
    <mergeCell ref="F13:G13"/>
    <mergeCell ref="F14:G14"/>
    <mergeCell ref="F15:G15"/>
    <mergeCell ref="F16:G16"/>
  </mergeCells>
  <pageMargins left="0.7" right="0.7" top="0.75" bottom="0.75" header="0.3" footer="0.3"/>
  <pageSetup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37" workbookViewId="0">
      <selection activeCell="E2" sqref="E2"/>
    </sheetView>
  </sheetViews>
  <sheetFormatPr defaultRowHeight="15" x14ac:dyDescent="0.25"/>
  <cols>
    <col min="2" max="2" width="18.5703125" customWidth="1"/>
    <col min="3" max="3" width="21" customWidth="1"/>
    <col min="8" max="8" width="20" customWidth="1"/>
  </cols>
  <sheetData>
    <row r="1" spans="1:16" ht="15.75" thickBot="1" x14ac:dyDescent="0.3"/>
    <row r="2" spans="1:16" ht="19.5" thickBot="1" x14ac:dyDescent="0.3">
      <c r="A2" s="87" t="s">
        <v>112</v>
      </c>
      <c r="B2" s="88"/>
      <c r="C2" s="89"/>
    </row>
    <row r="3" spans="1:16" ht="59.25" customHeight="1" thickBot="1" x14ac:dyDescent="0.3">
      <c r="A3" s="57" t="s">
        <v>113</v>
      </c>
      <c r="B3" s="90" t="s">
        <v>114</v>
      </c>
      <c r="C3" s="91"/>
      <c r="E3" t="s">
        <v>104</v>
      </c>
      <c r="F3" t="s">
        <v>141</v>
      </c>
      <c r="J3" t="s">
        <v>148</v>
      </c>
    </row>
    <row r="4" spans="1:16" ht="18.75" x14ac:dyDescent="0.25">
      <c r="A4" s="92"/>
      <c r="B4" s="58" t="s">
        <v>115</v>
      </c>
      <c r="C4" s="58" t="s">
        <v>117</v>
      </c>
      <c r="J4" s="86" t="s">
        <v>147</v>
      </c>
      <c r="K4" s="86"/>
    </row>
    <row r="5" spans="1:16" ht="22.5" thickBot="1" x14ac:dyDescent="0.3">
      <c r="A5" s="93"/>
      <c r="B5" s="59" t="s">
        <v>116</v>
      </c>
      <c r="C5" s="59" t="s">
        <v>118</v>
      </c>
      <c r="E5" s="96"/>
      <c r="F5" s="96"/>
      <c r="G5" s="96" t="s">
        <v>143</v>
      </c>
      <c r="H5" s="96" t="s">
        <v>145</v>
      </c>
      <c r="I5" s="96" t="s">
        <v>61</v>
      </c>
      <c r="J5" s="96" t="s">
        <v>62</v>
      </c>
      <c r="K5" s="96" t="s">
        <v>146</v>
      </c>
    </row>
    <row r="6" spans="1:16" ht="19.5" thickBot="1" x14ac:dyDescent="0.3">
      <c r="A6" s="60">
        <v>0.5</v>
      </c>
      <c r="B6" s="60" t="s">
        <v>119</v>
      </c>
      <c r="C6" s="60" t="s">
        <v>120</v>
      </c>
      <c r="D6">
        <v>0.45</v>
      </c>
      <c r="E6" s="60">
        <v>0.5</v>
      </c>
      <c r="F6">
        <v>0.12</v>
      </c>
      <c r="G6">
        <f>LOG10(F6)</f>
        <v>-0.92081875395237522</v>
      </c>
      <c r="H6" s="55">
        <f>-0.0439*E6+0.8802</f>
        <v>0.85824999999999996</v>
      </c>
      <c r="I6">
        <f>POWER(10,H6)</f>
        <v>7.21522701515031</v>
      </c>
      <c r="J6">
        <f>I6-F6</f>
        <v>7.0952270151503098</v>
      </c>
      <c r="K6">
        <f>LOG10(J6)</f>
        <v>0.85096629547352542</v>
      </c>
    </row>
    <row r="7" spans="1:16" ht="19.5" thickBot="1" x14ac:dyDescent="0.3">
      <c r="A7" s="60">
        <v>1</v>
      </c>
      <c r="B7" s="60" t="s">
        <v>121</v>
      </c>
      <c r="C7" s="60" t="s">
        <v>122</v>
      </c>
      <c r="D7">
        <v>1.76</v>
      </c>
      <c r="E7" s="60">
        <v>1</v>
      </c>
      <c r="F7">
        <v>2.2000000000000002</v>
      </c>
      <c r="G7">
        <f t="shared" ref="G7:G31" si="0">LOG10(F7)</f>
        <v>0.34242268082220628</v>
      </c>
      <c r="H7" s="55">
        <f t="shared" ref="H7:H16" si="1">-0.0439*E7+0.8802</f>
        <v>0.83629999999999993</v>
      </c>
      <c r="I7">
        <f t="shared" ref="I7:I16" si="2">POWER(10,H7)</f>
        <v>6.8596190852931507</v>
      </c>
      <c r="J7">
        <f t="shared" ref="J7:J13" si="3">I7-F7</f>
        <v>4.6596190852931505</v>
      </c>
      <c r="K7">
        <f t="shared" ref="K7:K13" si="4">LOG10(J7)</f>
        <v>0.66835041542029405</v>
      </c>
      <c r="O7">
        <v>100</v>
      </c>
      <c r="P7">
        <f>LOG10(O7)</f>
        <v>2</v>
      </c>
    </row>
    <row r="8" spans="1:16" ht="19.5" thickBot="1" x14ac:dyDescent="0.3">
      <c r="A8" s="60">
        <v>1.5</v>
      </c>
      <c r="B8" s="60" t="s">
        <v>123</v>
      </c>
      <c r="C8" s="60" t="s">
        <v>124</v>
      </c>
      <c r="D8">
        <v>4.26</v>
      </c>
      <c r="E8" s="60">
        <v>1.5</v>
      </c>
      <c r="F8">
        <v>5.38</v>
      </c>
      <c r="G8">
        <f t="shared" si="0"/>
        <v>0.7307822756663892</v>
      </c>
      <c r="H8" s="55">
        <f t="shared" si="1"/>
        <v>0.81435000000000002</v>
      </c>
      <c r="I8">
        <f t="shared" si="2"/>
        <v>6.5215375616754319</v>
      </c>
      <c r="J8">
        <f t="shared" si="3"/>
        <v>1.141537561675432</v>
      </c>
      <c r="K8">
        <f t="shared" si="4"/>
        <v>5.749020628616279E-2</v>
      </c>
      <c r="O8">
        <f>POWER(2,10)</f>
        <v>1024</v>
      </c>
      <c r="P8">
        <f>POWER(10,2)</f>
        <v>100</v>
      </c>
    </row>
    <row r="9" spans="1:16" ht="19.5" thickBot="1" x14ac:dyDescent="0.3">
      <c r="A9" s="60">
        <v>2</v>
      </c>
      <c r="B9" s="60" t="s">
        <v>125</v>
      </c>
      <c r="C9" s="60" t="s">
        <v>126</v>
      </c>
      <c r="D9">
        <v>4.42</v>
      </c>
      <c r="E9" s="60">
        <v>2</v>
      </c>
      <c r="F9">
        <v>6.8</v>
      </c>
      <c r="G9">
        <f t="shared" si="0"/>
        <v>0.83250891270623628</v>
      </c>
      <c r="H9" s="55">
        <f t="shared" si="1"/>
        <v>0.79239999999999999</v>
      </c>
      <c r="I9">
        <f t="shared" si="2"/>
        <v>6.2001186420872463</v>
      </c>
      <c r="J9">
        <f t="shared" si="3"/>
        <v>-0.59988135791275354</v>
      </c>
      <c r="K9" t="e">
        <f t="shared" si="4"/>
        <v>#NUM!</v>
      </c>
    </row>
    <row r="10" spans="1:16" ht="19.5" thickBot="1" x14ac:dyDescent="0.3">
      <c r="A10" s="60">
        <v>3</v>
      </c>
      <c r="B10" s="60" t="s">
        <v>127</v>
      </c>
      <c r="C10" s="60" t="s">
        <v>128</v>
      </c>
      <c r="D10">
        <v>3.42</v>
      </c>
      <c r="E10" s="60">
        <v>3</v>
      </c>
      <c r="F10">
        <v>6.91</v>
      </c>
      <c r="G10">
        <f t="shared" si="0"/>
        <v>0.8394780473741984</v>
      </c>
      <c r="H10" s="55">
        <f t="shared" si="1"/>
        <v>0.74849999999999994</v>
      </c>
      <c r="I10">
        <f t="shared" si="2"/>
        <v>5.6040241736418457</v>
      </c>
      <c r="J10">
        <f t="shared" si="3"/>
        <v>-1.3059758263581545</v>
      </c>
      <c r="K10" t="e">
        <f t="shared" si="4"/>
        <v>#NUM!</v>
      </c>
      <c r="O10">
        <f>POWER(10,2)</f>
        <v>100</v>
      </c>
    </row>
    <row r="11" spans="1:16" ht="19.5" thickBot="1" x14ac:dyDescent="0.3">
      <c r="A11" s="60">
        <v>4</v>
      </c>
      <c r="B11" s="60" t="s">
        <v>129</v>
      </c>
      <c r="C11" s="60" t="s">
        <v>130</v>
      </c>
      <c r="D11">
        <v>2</v>
      </c>
      <c r="E11" s="60">
        <v>4</v>
      </c>
      <c r="F11">
        <v>6.32</v>
      </c>
      <c r="G11">
        <f t="shared" si="0"/>
        <v>0.80071707828238503</v>
      </c>
      <c r="H11" s="55">
        <f t="shared" si="1"/>
        <v>0.7046</v>
      </c>
      <c r="I11">
        <f t="shared" si="2"/>
        <v>5.0652396755088187</v>
      </c>
      <c r="J11">
        <f t="shared" si="3"/>
        <v>-1.2547603244911816</v>
      </c>
      <c r="K11" t="e">
        <f t="shared" si="4"/>
        <v>#NUM!</v>
      </c>
    </row>
    <row r="12" spans="1:16" ht="19.5" thickBot="1" x14ac:dyDescent="0.3">
      <c r="A12" s="60">
        <v>6</v>
      </c>
      <c r="B12" s="60" t="s">
        <v>131</v>
      </c>
      <c r="C12" s="60" t="s">
        <v>132</v>
      </c>
      <c r="D12">
        <v>2</v>
      </c>
      <c r="E12" s="60">
        <v>6</v>
      </c>
      <c r="F12">
        <v>4.25</v>
      </c>
      <c r="G12">
        <f t="shared" si="0"/>
        <v>0.62838893005031149</v>
      </c>
      <c r="H12" s="55">
        <f t="shared" si="1"/>
        <v>0.61680000000000001</v>
      </c>
      <c r="I12">
        <f t="shared" si="2"/>
        <v>4.138090648167255</v>
      </c>
      <c r="J12">
        <f t="shared" si="3"/>
        <v>-0.11190935183274497</v>
      </c>
      <c r="K12" t="e">
        <f t="shared" si="4"/>
        <v>#NUM!</v>
      </c>
    </row>
    <row r="13" spans="1:16" ht="19.5" thickBot="1" x14ac:dyDescent="0.3">
      <c r="A13" s="60">
        <v>8</v>
      </c>
      <c r="B13" s="60" t="s">
        <v>133</v>
      </c>
      <c r="C13" s="60" t="s">
        <v>134</v>
      </c>
      <c r="D13">
        <v>1.53</v>
      </c>
      <c r="E13" s="60">
        <v>8</v>
      </c>
      <c r="F13">
        <v>3.6</v>
      </c>
      <c r="G13">
        <f t="shared" si="0"/>
        <v>0.55630250076728727</v>
      </c>
      <c r="H13" s="55">
        <f t="shared" si="1"/>
        <v>0.52899999999999991</v>
      </c>
      <c r="I13">
        <f t="shared" si="2"/>
        <v>3.3806483620598162</v>
      </c>
      <c r="J13">
        <f t="shared" si="3"/>
        <v>-0.21935163794018386</v>
      </c>
      <c r="K13" t="e">
        <f t="shared" si="4"/>
        <v>#NUM!</v>
      </c>
    </row>
    <row r="14" spans="1:16" ht="19.5" thickBot="1" x14ac:dyDescent="0.3">
      <c r="A14" s="60">
        <v>10</v>
      </c>
      <c r="B14" s="60" t="s">
        <v>135</v>
      </c>
      <c r="C14" s="60" t="s">
        <v>136</v>
      </c>
      <c r="D14">
        <v>1.27</v>
      </c>
      <c r="E14" s="63">
        <v>10</v>
      </c>
      <c r="F14">
        <v>2.72</v>
      </c>
      <c r="G14">
        <f t="shared" si="0"/>
        <v>0.43456890403419873</v>
      </c>
      <c r="H14" s="55">
        <f t="shared" si="1"/>
        <v>0.44119999999999998</v>
      </c>
      <c r="I14">
        <f t="shared" si="2"/>
        <v>2.761849442075293</v>
      </c>
    </row>
    <row r="15" spans="1:16" ht="19.5" thickBot="1" x14ac:dyDescent="0.3">
      <c r="A15" s="60">
        <v>12</v>
      </c>
      <c r="B15" s="60" t="s">
        <v>137</v>
      </c>
      <c r="C15" s="60" t="s">
        <v>138</v>
      </c>
      <c r="D15">
        <v>1.35</v>
      </c>
      <c r="E15" s="63">
        <v>12</v>
      </c>
      <c r="F15">
        <v>2.2999999999999998</v>
      </c>
      <c r="G15">
        <f t="shared" si="0"/>
        <v>0.36172783601759284</v>
      </c>
      <c r="H15" s="55">
        <f t="shared" si="1"/>
        <v>0.35339999999999994</v>
      </c>
      <c r="I15">
        <f t="shared" si="2"/>
        <v>2.2563163996281501</v>
      </c>
    </row>
    <row r="16" spans="1:16" ht="19.5" thickBot="1" x14ac:dyDescent="0.3">
      <c r="A16" s="60">
        <v>24</v>
      </c>
      <c r="B16" s="60" t="s">
        <v>139</v>
      </c>
      <c r="C16" s="60" t="s">
        <v>140</v>
      </c>
      <c r="D16">
        <v>0.94</v>
      </c>
      <c r="E16" s="63">
        <v>24</v>
      </c>
      <c r="F16">
        <v>0.67</v>
      </c>
      <c r="G16">
        <f t="shared" si="0"/>
        <v>-0.17392519729917355</v>
      </c>
      <c r="H16" s="55">
        <f t="shared" si="1"/>
        <v>-0.17340000000000011</v>
      </c>
      <c r="I16">
        <f t="shared" si="2"/>
        <v>0.67081072879922721</v>
      </c>
    </row>
    <row r="17" spans="1:10" x14ac:dyDescent="0.25">
      <c r="H17" s="55"/>
    </row>
    <row r="18" spans="1:10" ht="15.75" thickBot="1" x14ac:dyDescent="0.3">
      <c r="F18" t="s">
        <v>142</v>
      </c>
      <c r="H18" s="55"/>
    </row>
    <row r="19" spans="1:10" ht="19.5" thickBot="1" x14ac:dyDescent="0.3">
      <c r="A19" s="60">
        <v>0.5</v>
      </c>
      <c r="B19">
        <v>0.45</v>
      </c>
      <c r="C19" t="e">
        <f>LOG10(B190)</f>
        <v>#NUM!</v>
      </c>
      <c r="H19" s="55"/>
    </row>
    <row r="20" spans="1:10" ht="19.5" thickBot="1" x14ac:dyDescent="0.3">
      <c r="A20" s="60">
        <v>1</v>
      </c>
      <c r="B20">
        <v>1.76</v>
      </c>
      <c r="C20">
        <f>LOG10(B20)</f>
        <v>0.24551266781414982</v>
      </c>
      <c r="H20" s="55" t="s">
        <v>144</v>
      </c>
      <c r="I20" t="s">
        <v>61</v>
      </c>
      <c r="J20" t="s">
        <v>149</v>
      </c>
    </row>
    <row r="21" spans="1:10" ht="19.5" thickBot="1" x14ac:dyDescent="0.3">
      <c r="A21" s="60">
        <v>1.5</v>
      </c>
      <c r="B21">
        <v>4.26</v>
      </c>
      <c r="C21">
        <f t="shared" ref="C21:C29" si="5">LOG10(B21)</f>
        <v>0.62940959910271888</v>
      </c>
      <c r="E21" s="60">
        <v>0.5</v>
      </c>
      <c r="F21">
        <v>0.26</v>
      </c>
      <c r="G21">
        <f t="shared" si="0"/>
        <v>-0.58502665202918203</v>
      </c>
      <c r="H21" s="55">
        <f>-0.0321*E21 + 1.0006</f>
        <v>0.98454999999999993</v>
      </c>
      <c r="I21">
        <f>POWER(10,H21)</f>
        <v>9.6505041094459028</v>
      </c>
      <c r="J21">
        <f>LOG10(I21-F21)</f>
        <v>0.97268890707698152</v>
      </c>
    </row>
    <row r="22" spans="1:10" ht="19.5" thickBot="1" x14ac:dyDescent="0.3">
      <c r="A22" s="60">
        <v>2</v>
      </c>
      <c r="B22">
        <v>4.42</v>
      </c>
      <c r="C22">
        <f t="shared" si="5"/>
        <v>0.64542226934909186</v>
      </c>
      <c r="E22" s="60">
        <v>1</v>
      </c>
      <c r="F22">
        <v>3.62</v>
      </c>
      <c r="G22">
        <f t="shared" si="0"/>
        <v>0.55870857053316569</v>
      </c>
      <c r="H22" s="55">
        <f t="shared" ref="H22:H31" si="6">-0.0321*E22 + 1.0006</f>
        <v>0.96849999999999992</v>
      </c>
      <c r="I22">
        <f t="shared" ref="I22:I23" si="7">POWER(10,H22)</f>
        <v>9.3003651475396012</v>
      </c>
      <c r="J22">
        <f t="shared" ref="J22:J23" si="8">LOG10(I22-F22)</f>
        <v>0.75437625410264175</v>
      </c>
    </row>
    <row r="23" spans="1:10" ht="19.5" thickBot="1" x14ac:dyDescent="0.3">
      <c r="A23" s="60">
        <v>3</v>
      </c>
      <c r="B23">
        <v>3.42</v>
      </c>
      <c r="C23">
        <f t="shared" si="5"/>
        <v>0.53402610605613499</v>
      </c>
      <c r="E23" s="60">
        <v>1.5</v>
      </c>
      <c r="F23">
        <v>6.65</v>
      </c>
      <c r="G23">
        <f t="shared" si="0"/>
        <v>0.82282164530310464</v>
      </c>
      <c r="H23" s="55">
        <f t="shared" si="6"/>
        <v>0.95244999999999991</v>
      </c>
      <c r="I23">
        <f t="shared" si="7"/>
        <v>8.9629299046571447</v>
      </c>
      <c r="J23">
        <f t="shared" si="8"/>
        <v>0.36416247129984958</v>
      </c>
    </row>
    <row r="24" spans="1:10" ht="19.5" thickBot="1" x14ac:dyDescent="0.3">
      <c r="A24" s="60">
        <v>4</v>
      </c>
      <c r="B24">
        <v>2</v>
      </c>
      <c r="C24">
        <f t="shared" si="5"/>
        <v>0.3010299956639812</v>
      </c>
      <c r="E24" s="60">
        <v>2</v>
      </c>
      <c r="F24">
        <v>10.74</v>
      </c>
      <c r="G24">
        <f t="shared" si="0"/>
        <v>1.0310042813635367</v>
      </c>
      <c r="H24" s="55">
        <f t="shared" si="6"/>
        <v>0.9363999999999999</v>
      </c>
      <c r="J24" s="16">
        <f>-0.6085*E24+1.3056</f>
        <v>8.8600000000000012E-2</v>
      </c>
    </row>
    <row r="25" spans="1:10" ht="19.5" thickBot="1" x14ac:dyDescent="0.3">
      <c r="A25" s="60">
        <v>6</v>
      </c>
      <c r="B25">
        <v>2</v>
      </c>
      <c r="C25">
        <f t="shared" si="5"/>
        <v>0.3010299956639812</v>
      </c>
      <c r="E25" s="60">
        <v>3</v>
      </c>
      <c r="F25">
        <v>12.54</v>
      </c>
      <c r="G25">
        <f t="shared" si="0"/>
        <v>1.0982975364946976</v>
      </c>
      <c r="H25" s="55">
        <f t="shared" si="6"/>
        <v>0.90429999999999988</v>
      </c>
      <c r="J25" s="16">
        <f t="shared" ref="J25:J29" si="9">-0.6085*E25+1.3056</f>
        <v>-0.51990000000000003</v>
      </c>
    </row>
    <row r="26" spans="1:10" ht="19.5" thickBot="1" x14ac:dyDescent="0.3">
      <c r="A26" s="60">
        <v>8</v>
      </c>
      <c r="B26">
        <v>1.53</v>
      </c>
      <c r="C26">
        <f t="shared" si="5"/>
        <v>0.18469143081759881</v>
      </c>
      <c r="E26" s="60">
        <v>4</v>
      </c>
      <c r="F26">
        <v>11.2</v>
      </c>
      <c r="G26">
        <f t="shared" si="0"/>
        <v>1.0492180226701815</v>
      </c>
      <c r="H26" s="55">
        <f t="shared" si="6"/>
        <v>0.87219999999999998</v>
      </c>
      <c r="J26" s="16">
        <f t="shared" si="9"/>
        <v>-1.1284000000000001</v>
      </c>
    </row>
    <row r="27" spans="1:10" ht="19.5" thickBot="1" x14ac:dyDescent="0.3">
      <c r="A27" s="60">
        <v>10</v>
      </c>
      <c r="B27">
        <v>1.27</v>
      </c>
      <c r="C27">
        <f t="shared" si="5"/>
        <v>0.10380372095595687</v>
      </c>
      <c r="E27" s="60">
        <v>6</v>
      </c>
      <c r="F27">
        <v>8.5399999999999991</v>
      </c>
      <c r="G27">
        <f t="shared" si="0"/>
        <v>0.93145787068900499</v>
      </c>
      <c r="H27" s="55">
        <f t="shared" si="6"/>
        <v>0.80799999999999994</v>
      </c>
      <c r="J27" s="16">
        <f t="shared" si="9"/>
        <v>-2.3454000000000002</v>
      </c>
    </row>
    <row r="28" spans="1:10" ht="19.5" thickBot="1" x14ac:dyDescent="0.3">
      <c r="A28" s="60">
        <v>12</v>
      </c>
      <c r="B28">
        <v>1.35</v>
      </c>
      <c r="C28">
        <f t="shared" si="5"/>
        <v>0.13033376849500614</v>
      </c>
      <c r="E28" s="60">
        <v>8</v>
      </c>
      <c r="F28">
        <v>6.48</v>
      </c>
      <c r="G28">
        <f t="shared" si="0"/>
        <v>0.81157500587059339</v>
      </c>
      <c r="H28" s="55">
        <f t="shared" si="6"/>
        <v>0.74380000000000002</v>
      </c>
      <c r="J28" s="16">
        <f t="shared" si="9"/>
        <v>-3.5624000000000002</v>
      </c>
    </row>
    <row r="29" spans="1:10" ht="19.5" thickBot="1" x14ac:dyDescent="0.3">
      <c r="A29" s="60">
        <v>24</v>
      </c>
      <c r="B29">
        <v>0.94</v>
      </c>
      <c r="C29">
        <f t="shared" si="5"/>
        <v>-2.6872146400301365E-2</v>
      </c>
      <c r="E29" s="61">
        <v>10</v>
      </c>
      <c r="F29">
        <v>4.8499999999999996</v>
      </c>
      <c r="G29">
        <f t="shared" si="0"/>
        <v>0.68574173860226362</v>
      </c>
      <c r="H29" s="55">
        <f t="shared" si="6"/>
        <v>0.67959999999999998</v>
      </c>
      <c r="J29" s="16">
        <f t="shared" si="9"/>
        <v>-4.7794000000000008</v>
      </c>
    </row>
    <row r="30" spans="1:10" ht="19.5" thickBot="1" x14ac:dyDescent="0.3">
      <c r="E30" s="61">
        <v>12</v>
      </c>
      <c r="F30">
        <v>4.05</v>
      </c>
      <c r="G30">
        <f t="shared" si="0"/>
        <v>0.60745502321466849</v>
      </c>
      <c r="H30" s="55">
        <f t="shared" si="6"/>
        <v>0.61539999999999995</v>
      </c>
    </row>
    <row r="31" spans="1:10" ht="18.75" x14ac:dyDescent="0.25">
      <c r="E31" s="62">
        <v>24</v>
      </c>
      <c r="F31">
        <v>1.7</v>
      </c>
      <c r="G31">
        <f t="shared" si="0"/>
        <v>0.23044892137827391</v>
      </c>
      <c r="H31" s="55">
        <f t="shared" si="6"/>
        <v>0.23019999999999996</v>
      </c>
    </row>
  </sheetData>
  <mergeCells count="4">
    <mergeCell ref="A2:C2"/>
    <mergeCell ref="B3:C3"/>
    <mergeCell ref="A4:A5"/>
    <mergeCell ref="J4:K4"/>
  </mergeCells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topLeftCell="A19" workbookViewId="0">
      <selection activeCell="G19" sqref="G19"/>
    </sheetView>
  </sheetViews>
  <sheetFormatPr defaultRowHeight="15" x14ac:dyDescent="0.25"/>
  <cols>
    <col min="2" max="2" width="13.28515625" customWidth="1"/>
    <col min="3" max="3" width="19.5703125" bestFit="1" customWidth="1"/>
    <col min="4" max="4" width="21.85546875" customWidth="1"/>
    <col min="5" max="5" width="14.85546875" customWidth="1"/>
    <col min="6" max="6" width="14.7109375" customWidth="1"/>
    <col min="7" max="7" width="18" customWidth="1"/>
    <col min="14" max="14" width="18.7109375" customWidth="1"/>
  </cols>
  <sheetData>
    <row r="3" spans="1:6" ht="15.75" thickBot="1" x14ac:dyDescent="0.3"/>
    <row r="4" spans="1:6" ht="37.5" x14ac:dyDescent="0.25">
      <c r="A4" s="92"/>
      <c r="B4" s="58" t="s">
        <v>115</v>
      </c>
    </row>
    <row r="5" spans="1:6" ht="41.25" thickBot="1" x14ac:dyDescent="0.3">
      <c r="A5" s="93"/>
      <c r="B5" s="59" t="s">
        <v>116</v>
      </c>
      <c r="D5" t="s">
        <v>150</v>
      </c>
      <c r="E5" t="s">
        <v>152</v>
      </c>
      <c r="F5" t="s">
        <v>151</v>
      </c>
    </row>
    <row r="6" spans="1:6" ht="19.5" thickBot="1" x14ac:dyDescent="0.3">
      <c r="A6" s="60">
        <v>0.5</v>
      </c>
      <c r="B6" s="60" t="s">
        <v>119</v>
      </c>
      <c r="C6">
        <v>0.45</v>
      </c>
      <c r="D6">
        <f>E6-C6</f>
        <v>-0.33</v>
      </c>
      <c r="E6" s="55">
        <v>0.12</v>
      </c>
      <c r="F6">
        <f>E6+0.45</f>
        <v>0.57000000000000006</v>
      </c>
    </row>
    <row r="7" spans="1:6" ht="19.5" thickBot="1" x14ac:dyDescent="0.3">
      <c r="A7" s="60">
        <v>1</v>
      </c>
      <c r="B7" s="60" t="s">
        <v>121</v>
      </c>
      <c r="C7">
        <v>1.76</v>
      </c>
      <c r="D7">
        <f t="shared" ref="D7:D15" si="0">E7-C7</f>
        <v>0.44000000000000017</v>
      </c>
      <c r="E7" s="55">
        <v>2.2000000000000002</v>
      </c>
      <c r="F7">
        <f t="shared" ref="F7:F15" si="1">E7+0.45</f>
        <v>2.6500000000000004</v>
      </c>
    </row>
    <row r="8" spans="1:6" ht="19.5" thickBot="1" x14ac:dyDescent="0.3">
      <c r="A8" s="60">
        <v>1.5</v>
      </c>
      <c r="B8" s="60" t="s">
        <v>123</v>
      </c>
      <c r="C8">
        <v>4.26</v>
      </c>
      <c r="D8">
        <f t="shared" si="0"/>
        <v>1.1200000000000001</v>
      </c>
      <c r="E8" s="55">
        <v>5.38</v>
      </c>
      <c r="F8">
        <f t="shared" si="1"/>
        <v>5.83</v>
      </c>
    </row>
    <row r="9" spans="1:6" ht="19.5" thickBot="1" x14ac:dyDescent="0.3">
      <c r="A9" s="60">
        <v>2</v>
      </c>
      <c r="B9" s="60" t="s">
        <v>125</v>
      </c>
      <c r="C9">
        <v>4.42</v>
      </c>
      <c r="D9">
        <f t="shared" si="0"/>
        <v>2.38</v>
      </c>
      <c r="E9" s="55">
        <v>6.8</v>
      </c>
      <c r="F9">
        <f t="shared" si="1"/>
        <v>7.25</v>
      </c>
    </row>
    <row r="10" spans="1:6" ht="19.5" thickBot="1" x14ac:dyDescent="0.3">
      <c r="A10" s="60">
        <v>3</v>
      </c>
      <c r="B10" s="60" t="s">
        <v>127</v>
      </c>
      <c r="C10">
        <v>3.42</v>
      </c>
      <c r="D10">
        <f t="shared" si="0"/>
        <v>3.49</v>
      </c>
      <c r="E10" s="55">
        <v>6.91</v>
      </c>
      <c r="F10">
        <f t="shared" si="1"/>
        <v>7.36</v>
      </c>
    </row>
    <row r="11" spans="1:6" ht="19.5" thickBot="1" x14ac:dyDescent="0.3">
      <c r="A11" s="60">
        <v>4</v>
      </c>
      <c r="B11" s="60" t="s">
        <v>129</v>
      </c>
      <c r="C11">
        <v>2</v>
      </c>
      <c r="D11">
        <f t="shared" si="0"/>
        <v>4.32</v>
      </c>
      <c r="E11" s="55">
        <v>6.32</v>
      </c>
      <c r="F11">
        <f t="shared" si="1"/>
        <v>6.7700000000000005</v>
      </c>
    </row>
    <row r="12" spans="1:6" ht="19.5" thickBot="1" x14ac:dyDescent="0.3">
      <c r="A12" s="60">
        <v>6</v>
      </c>
      <c r="B12" s="60" t="s">
        <v>131</v>
      </c>
      <c r="C12">
        <v>2</v>
      </c>
      <c r="D12">
        <f t="shared" si="0"/>
        <v>2.25</v>
      </c>
      <c r="E12" s="55">
        <v>4.25</v>
      </c>
      <c r="F12">
        <f t="shared" si="1"/>
        <v>4.7</v>
      </c>
    </row>
    <row r="13" spans="1:6" ht="19.5" thickBot="1" x14ac:dyDescent="0.3">
      <c r="A13" s="60">
        <v>8</v>
      </c>
      <c r="B13" s="60" t="s">
        <v>133</v>
      </c>
      <c r="C13">
        <v>1.53</v>
      </c>
      <c r="D13">
        <f t="shared" si="0"/>
        <v>2.0700000000000003</v>
      </c>
      <c r="E13" s="55">
        <v>3.6</v>
      </c>
      <c r="F13">
        <f t="shared" si="1"/>
        <v>4.05</v>
      </c>
    </row>
    <row r="14" spans="1:6" ht="19.5" thickBot="1" x14ac:dyDescent="0.3">
      <c r="A14" s="60">
        <v>10</v>
      </c>
      <c r="B14" s="60" t="s">
        <v>135</v>
      </c>
      <c r="C14">
        <v>1.27</v>
      </c>
      <c r="D14">
        <f t="shared" si="0"/>
        <v>1.4500000000000002</v>
      </c>
      <c r="E14" s="55">
        <v>2.72</v>
      </c>
      <c r="F14">
        <f t="shared" si="1"/>
        <v>3.1700000000000004</v>
      </c>
    </row>
    <row r="15" spans="1:6" ht="19.5" thickBot="1" x14ac:dyDescent="0.3">
      <c r="A15" s="60">
        <v>12</v>
      </c>
      <c r="B15" s="60" t="s">
        <v>137</v>
      </c>
      <c r="C15">
        <v>1.35</v>
      </c>
      <c r="D15">
        <f t="shared" si="0"/>
        <v>0.94999999999999973</v>
      </c>
      <c r="E15" s="55">
        <v>2.2999999999999998</v>
      </c>
      <c r="F15">
        <f t="shared" si="1"/>
        <v>2.75</v>
      </c>
    </row>
    <row r="17" spans="1:17" x14ac:dyDescent="0.25">
      <c r="F17">
        <f>(B20+B22)/2</f>
        <v>3.8</v>
      </c>
    </row>
    <row r="18" spans="1:17" ht="15.75" thickBot="1" x14ac:dyDescent="0.3"/>
    <row r="19" spans="1:17" ht="48" thickBot="1" x14ac:dyDescent="0.3">
      <c r="A19" s="68" t="s">
        <v>162</v>
      </c>
      <c r="B19" s="68" t="s">
        <v>163</v>
      </c>
      <c r="C19" s="76" t="s">
        <v>164</v>
      </c>
      <c r="D19" s="78" t="s">
        <v>175</v>
      </c>
      <c r="E19" s="81" t="s">
        <v>172</v>
      </c>
      <c r="F19" s="80" t="s">
        <v>176</v>
      </c>
      <c r="G19" s="24" t="s">
        <v>177</v>
      </c>
    </row>
    <row r="20" spans="1:17" ht="24.75" thickTop="1" thickBot="1" x14ac:dyDescent="0.4">
      <c r="A20" s="73">
        <v>0.25</v>
      </c>
      <c r="B20" s="69">
        <v>3</v>
      </c>
      <c r="C20" s="77">
        <f>LOG10(B20)</f>
        <v>0.47712125471966244</v>
      </c>
      <c r="D20" s="79">
        <f xml:space="preserve"> -0.2111*A20+1.14</f>
        <v>1.0872249999999999</v>
      </c>
      <c r="E20" s="80">
        <f>POWER(10,D20)</f>
        <v>12.224328161428826</v>
      </c>
      <c r="F20" s="80">
        <f>E20-B20</f>
        <v>9.2243281614288257</v>
      </c>
      <c r="G20" s="80">
        <f>LOG10(F20)</f>
        <v>0.96493474486801567</v>
      </c>
      <c r="M20" t="s">
        <v>173</v>
      </c>
      <c r="N20" t="s">
        <v>169</v>
      </c>
      <c r="O20" t="s">
        <v>174</v>
      </c>
    </row>
    <row r="21" spans="1:17" ht="1.5" customHeight="1" thickTop="1" thickBot="1" x14ac:dyDescent="0.4">
      <c r="A21" s="74">
        <v>0.375</v>
      </c>
      <c r="B21" s="74">
        <v>3.8</v>
      </c>
      <c r="C21" s="77">
        <f t="shared" ref="C21" si="2">LOG10(B21)</f>
        <v>0.57978359661681012</v>
      </c>
      <c r="D21" s="79">
        <f t="shared" ref="D21" si="3" xml:space="preserve"> -0.2111*A21+1.14</f>
        <v>1.0608374999999999</v>
      </c>
      <c r="E21" s="80">
        <f t="shared" ref="E21" si="4">POWER(10,D21)</f>
        <v>11.503698744214381</v>
      </c>
      <c r="F21" s="80">
        <f t="shared" ref="F21" si="5">E21-B21</f>
        <v>7.7036987442143809</v>
      </c>
      <c r="G21" s="80">
        <f t="shared" ref="G21" si="6">LOG10(F21)</f>
        <v>0.88669929121364177</v>
      </c>
    </row>
    <row r="22" spans="1:17" ht="24.75" thickTop="1" thickBot="1" x14ac:dyDescent="0.4">
      <c r="A22" s="70">
        <v>0.5</v>
      </c>
      <c r="B22" s="70">
        <v>4.5999999999999996</v>
      </c>
      <c r="C22" s="77">
        <f t="shared" ref="C22:C30" si="7">LOG10(B22)</f>
        <v>0.66275783168157409</v>
      </c>
      <c r="D22" s="79">
        <f t="shared" ref="D22:D25" si="8" xml:space="preserve"> -0.2111*A22+1.14</f>
        <v>1.0344499999999999</v>
      </c>
      <c r="E22" s="80">
        <f t="shared" ref="E22:E23" si="9">POWER(10,D22)</f>
        <v>10.825550741937191</v>
      </c>
      <c r="F22" s="80">
        <f t="shared" ref="F22:F23" si="10">E22-B22</f>
        <v>6.2255507419371909</v>
      </c>
      <c r="G22" s="80">
        <f t="shared" ref="G22:G23" si="11">LOG10(F22)</f>
        <v>0.79417777723030814</v>
      </c>
    </row>
    <row r="23" spans="1:17" ht="24.75" thickTop="1" thickBot="1" x14ac:dyDescent="0.4">
      <c r="A23" s="70">
        <v>1</v>
      </c>
      <c r="B23" s="70">
        <v>5.7</v>
      </c>
      <c r="C23" s="77">
        <f t="shared" si="7"/>
        <v>0.75587485567249146</v>
      </c>
      <c r="D23" s="79">
        <f t="shared" si="8"/>
        <v>0.92889999999999984</v>
      </c>
      <c r="E23" s="80">
        <f t="shared" si="9"/>
        <v>8.4898496651561963</v>
      </c>
      <c r="F23" s="80">
        <f t="shared" si="10"/>
        <v>2.7898496651561961</v>
      </c>
      <c r="G23" s="80">
        <f t="shared" si="11"/>
        <v>0.44558080135525369</v>
      </c>
      <c r="H23">
        <f>0.6967*2.303</f>
        <v>1.6045000999999999</v>
      </c>
    </row>
    <row r="24" spans="1:17" ht="24.75" thickTop="1" thickBot="1" x14ac:dyDescent="0.4">
      <c r="A24" s="70">
        <v>1.5</v>
      </c>
      <c r="B24" s="70">
        <v>5.6</v>
      </c>
      <c r="C24" s="77">
        <f t="shared" si="7"/>
        <v>0.74818802700620035</v>
      </c>
      <c r="D24" s="79">
        <f t="shared" si="8"/>
        <v>0.82334999999999992</v>
      </c>
      <c r="E24" s="80"/>
      <c r="F24" s="80"/>
      <c r="G24" s="80"/>
    </row>
    <row r="25" spans="1:17" ht="24.75" thickTop="1" thickBot="1" x14ac:dyDescent="0.4">
      <c r="A25" s="70">
        <v>2</v>
      </c>
      <c r="B25" s="70">
        <v>4.8</v>
      </c>
      <c r="C25" s="77">
        <f t="shared" si="7"/>
        <v>0.68124123737558717</v>
      </c>
      <c r="D25" s="79">
        <f t="shared" si="8"/>
        <v>0.71779999999999988</v>
      </c>
      <c r="E25" s="80"/>
      <c r="F25" s="80"/>
      <c r="G25" s="80"/>
    </row>
    <row r="26" spans="1:17" ht="24.75" thickTop="1" thickBot="1" x14ac:dyDescent="0.4">
      <c r="A26" s="70">
        <v>3</v>
      </c>
      <c r="B26" s="70">
        <v>3.2</v>
      </c>
      <c r="C26" s="77">
        <f t="shared" si="7"/>
        <v>0.50514997831990605</v>
      </c>
      <c r="D26" s="79">
        <f>LOG10(B26)</f>
        <v>0.50514997831990605</v>
      </c>
      <c r="E26" s="80"/>
      <c r="F26" s="80"/>
      <c r="G26" s="80"/>
    </row>
    <row r="27" spans="1:17" ht="24.75" thickTop="1" thickBot="1" x14ac:dyDescent="0.4">
      <c r="A27" s="70">
        <v>4</v>
      </c>
      <c r="B27" s="70">
        <v>2</v>
      </c>
      <c r="C27" s="77">
        <f t="shared" si="7"/>
        <v>0.3010299956639812</v>
      </c>
      <c r="D27" s="79">
        <f t="shared" ref="D27:D30" si="12">LOG10(B27)</f>
        <v>0.3010299956639812</v>
      </c>
      <c r="E27" s="80"/>
      <c r="F27" s="80"/>
      <c r="G27" s="80"/>
      <c r="O27" t="s">
        <v>169</v>
      </c>
      <c r="Q27" t="s">
        <v>170</v>
      </c>
    </row>
    <row r="28" spans="1:17" ht="24.75" thickTop="1" thickBot="1" x14ac:dyDescent="0.4">
      <c r="A28" s="70">
        <v>5</v>
      </c>
      <c r="B28" s="70">
        <v>1.2</v>
      </c>
      <c r="C28" s="77">
        <f t="shared" si="7"/>
        <v>7.9181246047624818E-2</v>
      </c>
      <c r="D28" s="79">
        <f t="shared" si="12"/>
        <v>7.9181246047624818E-2</v>
      </c>
      <c r="E28" s="80"/>
      <c r="F28" s="80"/>
      <c r="G28" s="80"/>
    </row>
    <row r="29" spans="1:17" ht="24.75" thickTop="1" thickBot="1" x14ac:dyDescent="0.4">
      <c r="A29" s="70">
        <v>6</v>
      </c>
      <c r="B29" s="70">
        <v>0.75</v>
      </c>
      <c r="C29" s="77">
        <f t="shared" si="7"/>
        <v>-0.12493873660829995</v>
      </c>
      <c r="D29" s="79">
        <f t="shared" si="12"/>
        <v>-0.12493873660829995</v>
      </c>
      <c r="E29" s="80"/>
      <c r="F29" s="80"/>
      <c r="G29" s="80"/>
      <c r="O29" t="s">
        <v>171</v>
      </c>
      <c r="Q29">
        <f>(0.211)*2.303</f>
        <v>0.48593299999999995</v>
      </c>
    </row>
    <row r="30" spans="1:17" ht="24.75" thickTop="1" thickBot="1" x14ac:dyDescent="0.4">
      <c r="A30" s="70">
        <v>7</v>
      </c>
      <c r="B30" s="70">
        <v>0.46</v>
      </c>
      <c r="C30" s="77">
        <f t="shared" si="7"/>
        <v>-0.33724216831842591</v>
      </c>
      <c r="D30" s="79">
        <f t="shared" si="12"/>
        <v>-0.33724216831842591</v>
      </c>
      <c r="E30" s="80"/>
      <c r="F30" s="80"/>
      <c r="G30" s="80"/>
    </row>
    <row r="31" spans="1:17" x14ac:dyDescent="0.25">
      <c r="A31" s="94">
        <v>1</v>
      </c>
      <c r="B31" s="94"/>
      <c r="C31" s="94"/>
      <c r="D31" s="23"/>
      <c r="E31" s="22">
        <v>2</v>
      </c>
      <c r="F31" s="41"/>
      <c r="G31" s="75"/>
    </row>
    <row r="32" spans="1:17" x14ac:dyDescent="0.25">
      <c r="C32" s="41"/>
      <c r="D32" s="41"/>
      <c r="E32" s="41"/>
      <c r="F32" s="41"/>
      <c r="G32" s="41"/>
    </row>
    <row r="33" spans="3:7" x14ac:dyDescent="0.25">
      <c r="C33" s="41"/>
      <c r="D33" s="41"/>
      <c r="E33" s="41"/>
      <c r="F33" s="41"/>
      <c r="G33" s="41"/>
    </row>
  </sheetData>
  <mergeCells count="2">
    <mergeCell ref="A4:A5"/>
    <mergeCell ref="A31:C31"/>
  </mergeCell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12" displayEmptyCellsAs="gap" markers="1" high="1" low="1" first="1" last="1" negative="1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rgb="FFFF0000"/>
          <x14:sparklines>
            <x14:sparkline>
              <xm:f>Sheet2!C6:C6</xm:f>
              <xm:sqref>A6</xm:sqref>
            </x14:sparkline>
            <x14:sparkline>
              <xm:f>Sheet2!C7:C7</xm:f>
              <xm:sqref>A7</xm:sqref>
            </x14:sparkline>
            <x14:sparkline>
              <xm:f>Sheet2!C8:C8</xm:f>
              <xm:sqref>A8</xm:sqref>
            </x14:sparkline>
            <x14:sparkline>
              <xm:f>Sheet2!C9:C9</xm:f>
              <xm:sqref>A9</xm:sqref>
            </x14:sparkline>
            <x14:sparkline>
              <xm:f>Sheet2!C10:C10</xm:f>
              <xm:sqref>A10</xm:sqref>
            </x14:sparkline>
            <x14:sparkline>
              <xm:f>Sheet2!C11:C11</xm:f>
              <xm:sqref>A11</xm:sqref>
            </x14:sparkline>
            <x14:sparkline>
              <xm:f>Sheet2!C12:C12</xm:f>
              <xm:sqref>A12</xm:sqref>
            </x14:sparkline>
            <x14:sparkline>
              <xm:f>Sheet2!C13:C13</xm:f>
              <xm:sqref>A13</xm:sqref>
            </x14:sparkline>
            <x14:sparkline>
              <xm:f>Sheet2!C14:C14</xm:f>
              <xm:sqref>A14</xm:sqref>
            </x14:sparkline>
            <x14:sparkline>
              <xm:f>Sheet2!C15:C15</xm:f>
              <xm:sqref>A15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opLeftCell="A2" workbookViewId="0">
      <selection activeCell="B15" sqref="B15:C15"/>
    </sheetView>
  </sheetViews>
  <sheetFormatPr defaultRowHeight="15" x14ac:dyDescent="0.25"/>
  <cols>
    <col min="2" max="2" width="16.42578125" customWidth="1"/>
  </cols>
  <sheetData>
    <row r="3" spans="1:12" x14ac:dyDescent="0.25">
      <c r="A3" t="s">
        <v>56</v>
      </c>
    </row>
    <row r="4" spans="1:12" x14ac:dyDescent="0.25">
      <c r="A4" s="40" t="s">
        <v>57</v>
      </c>
      <c r="B4" s="40"/>
    </row>
    <row r="5" spans="1:12" x14ac:dyDescent="0.25">
      <c r="A5" t="s">
        <v>28</v>
      </c>
      <c r="C5" s="14">
        <v>0.25</v>
      </c>
      <c r="D5" s="14">
        <v>0.5</v>
      </c>
      <c r="E5" s="14">
        <v>0.75</v>
      </c>
      <c r="F5" s="14">
        <v>1</v>
      </c>
      <c r="G5" s="14">
        <v>2</v>
      </c>
      <c r="H5" s="14">
        <v>4</v>
      </c>
      <c r="I5" s="14">
        <v>6</v>
      </c>
      <c r="J5" s="14">
        <v>10</v>
      </c>
      <c r="K5" s="14">
        <v>14</v>
      </c>
      <c r="L5" s="14">
        <v>20</v>
      </c>
    </row>
    <row r="6" spans="1:12" x14ac:dyDescent="0.25">
      <c r="A6" t="s">
        <v>58</v>
      </c>
      <c r="C6" s="14">
        <v>2.85</v>
      </c>
      <c r="D6" s="14">
        <v>5.43</v>
      </c>
      <c r="E6" s="14">
        <v>7.75</v>
      </c>
      <c r="F6" s="14">
        <v>9.84</v>
      </c>
      <c r="G6" s="14">
        <v>16.2</v>
      </c>
      <c r="H6" s="14">
        <v>22.15</v>
      </c>
      <c r="I6" s="14">
        <v>23.01</v>
      </c>
      <c r="J6" s="14">
        <v>19.09</v>
      </c>
      <c r="K6" s="14">
        <v>13.9</v>
      </c>
      <c r="L6" s="14">
        <v>7.97</v>
      </c>
    </row>
    <row r="7" spans="1:12" x14ac:dyDescent="0.25">
      <c r="A7" s="95" t="s">
        <v>59</v>
      </c>
      <c r="B7" s="95"/>
      <c r="C7" s="95"/>
      <c r="D7" s="95"/>
    </row>
    <row r="8" spans="1:12" x14ac:dyDescent="0.25">
      <c r="A8" s="40" t="s">
        <v>25</v>
      </c>
      <c r="B8" s="40"/>
    </row>
    <row r="9" spans="1:12" x14ac:dyDescent="0.25">
      <c r="A9" t="s">
        <v>28</v>
      </c>
      <c r="C9" s="72">
        <v>0.25</v>
      </c>
      <c r="D9" s="72">
        <v>0.5</v>
      </c>
      <c r="E9" s="72">
        <v>0.75</v>
      </c>
      <c r="F9" s="72">
        <v>1</v>
      </c>
      <c r="G9" s="72">
        <v>2</v>
      </c>
      <c r="H9" s="72">
        <v>4</v>
      </c>
      <c r="I9" s="72">
        <v>6</v>
      </c>
      <c r="J9" s="72">
        <v>10</v>
      </c>
      <c r="K9" s="72">
        <v>14</v>
      </c>
      <c r="L9" s="72">
        <v>20</v>
      </c>
    </row>
    <row r="10" spans="1:12" x14ac:dyDescent="0.25">
      <c r="A10" t="s">
        <v>58</v>
      </c>
      <c r="C10" s="72">
        <v>2.85</v>
      </c>
      <c r="D10" s="72">
        <v>5.43</v>
      </c>
      <c r="E10" s="72">
        <v>7.75</v>
      </c>
      <c r="F10" s="72">
        <v>9.84</v>
      </c>
      <c r="G10" s="72">
        <v>16.2</v>
      </c>
      <c r="H10" s="72">
        <v>22.15</v>
      </c>
      <c r="I10" s="72">
        <v>23.01</v>
      </c>
      <c r="J10" s="72">
        <v>19.09</v>
      </c>
      <c r="K10" s="72">
        <v>13.9</v>
      </c>
      <c r="L10" s="72">
        <v>7.97</v>
      </c>
    </row>
    <row r="11" spans="1:12" x14ac:dyDescent="0.25">
      <c r="A11" t="s">
        <v>167</v>
      </c>
      <c r="C11">
        <f>LOG10(C10)</f>
        <v>0.45484486000851021</v>
      </c>
      <c r="D11">
        <f t="shared" ref="D11:L11" si="0">LOG10(D10)</f>
        <v>0.73479982958884693</v>
      </c>
      <c r="E11">
        <f t="shared" si="0"/>
        <v>0.88930170250631024</v>
      </c>
      <c r="F11">
        <f t="shared" si="0"/>
        <v>0.99299509843134148</v>
      </c>
      <c r="G11">
        <f t="shared" si="0"/>
        <v>1.209515014542631</v>
      </c>
      <c r="H11">
        <f t="shared" si="0"/>
        <v>1.3453737305590883</v>
      </c>
      <c r="I11">
        <f t="shared" si="0"/>
        <v>1.3619166186686433</v>
      </c>
      <c r="J11">
        <f t="shared" si="0"/>
        <v>1.2808059283936668</v>
      </c>
      <c r="K11">
        <f t="shared" si="0"/>
        <v>1.1430148002540952</v>
      </c>
      <c r="L11">
        <f t="shared" si="0"/>
        <v>0.90145832139611237</v>
      </c>
    </row>
    <row r="12" spans="1:12" x14ac:dyDescent="0.25">
      <c r="A12" t="s">
        <v>165</v>
      </c>
      <c r="B12" t="s">
        <v>166</v>
      </c>
      <c r="C12" s="72">
        <v>0.25</v>
      </c>
      <c r="D12" s="72">
        <v>0.5</v>
      </c>
      <c r="E12" s="72">
        <v>0.75</v>
      </c>
      <c r="F12" s="72">
        <v>1</v>
      </c>
      <c r="G12" s="72">
        <v>2</v>
      </c>
      <c r="H12" s="72">
        <v>4</v>
      </c>
      <c r="I12" s="72">
        <v>6</v>
      </c>
      <c r="J12" s="71">
        <v>10</v>
      </c>
      <c r="K12" s="71">
        <v>14</v>
      </c>
      <c r="L12" s="71">
        <v>20</v>
      </c>
    </row>
    <row r="13" spans="1:12" x14ac:dyDescent="0.25">
      <c r="C13">
        <f>-1.1022*C12+29.819</f>
        <v>29.54345</v>
      </c>
      <c r="D13">
        <f t="shared" ref="D13:I13" si="1">-1.1022*D12+29.819</f>
        <v>29.267899999999997</v>
      </c>
      <c r="E13">
        <f t="shared" si="1"/>
        <v>28.992349999999998</v>
      </c>
      <c r="F13">
        <f t="shared" si="1"/>
        <v>28.716799999999999</v>
      </c>
      <c r="G13">
        <f t="shared" si="1"/>
        <v>27.614599999999999</v>
      </c>
      <c r="H13">
        <f t="shared" si="1"/>
        <v>25.4102</v>
      </c>
      <c r="I13">
        <f t="shared" si="1"/>
        <v>23.205799999999996</v>
      </c>
      <c r="J13" s="71">
        <v>19.09</v>
      </c>
      <c r="K13" s="71">
        <v>13.9</v>
      </c>
      <c r="L13" s="71">
        <v>7.97</v>
      </c>
    </row>
    <row r="15" spans="1:12" x14ac:dyDescent="0.25">
      <c r="B15" t="s">
        <v>168</v>
      </c>
    </row>
  </sheetData>
  <mergeCells count="1"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iv 1k</vt:lpstr>
      <vt:lpstr>infus</vt:lpstr>
      <vt:lpstr>abs</vt:lpstr>
      <vt:lpstr>2k iv</vt:lpstr>
      <vt:lpstr>2K SEMILOG</vt:lpstr>
      <vt:lpstr>PR ABSR</vt:lpstr>
      <vt:lpstr>Sheet2</vt:lpstr>
      <vt:lpstr>ABSP 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2015-03-31T01:41:15Z</dcterms:created>
  <dcterms:modified xsi:type="dcterms:W3CDTF">2020-07-03T07:46:14Z</dcterms:modified>
</cp:coreProperties>
</file>